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arlosErazo\Desktop\Carlos\TRABAJO\GQSP\"/>
    </mc:Choice>
  </mc:AlternateContent>
  <xr:revisionPtr revIDLastSave="0" documentId="13_ncr:1_{2782EF93-4DB4-4E4A-98FE-447BD4FCA15C}" xr6:coauthVersionLast="36" xr6:coauthVersionMax="36" xr10:uidLastSave="{00000000-0000-0000-0000-000000000000}"/>
  <bookViews>
    <workbookView xWindow="0" yWindow="0" windowWidth="20490" windowHeight="7545" activeTab="3" xr2:uid="{A1FC6DAD-9F50-49CA-A494-6DCE037E8659}"/>
  </bookViews>
  <sheets>
    <sheet name="Ac.Sim&amp;R.Com" sheetId="1" r:id="rId1"/>
    <sheet name="Binaria - No Binaria" sheetId="4" r:id="rId2"/>
    <sheet name="Amb&amp;Ind-Seg.Fija=U" sheetId="2" r:id="rId3"/>
    <sheet name="Resumen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G10" i="5"/>
  <c r="G8" i="5"/>
  <c r="C7" i="5"/>
  <c r="M7" i="5" s="1"/>
  <c r="C6" i="5"/>
  <c r="G14" i="4"/>
  <c r="G15" i="4"/>
  <c r="G16" i="4"/>
  <c r="G17" i="4"/>
  <c r="G18" i="4"/>
  <c r="F13" i="1"/>
  <c r="I15" i="4"/>
  <c r="I14" i="4"/>
  <c r="H14" i="4"/>
  <c r="E24" i="1"/>
  <c r="E25" i="1"/>
  <c r="E26" i="1"/>
  <c r="E27" i="1"/>
  <c r="E23" i="1"/>
  <c r="N7" i="5" l="1"/>
  <c r="H7" i="5"/>
  <c r="I7" i="5"/>
  <c r="R7" i="5"/>
  <c r="S7" i="5" s="1"/>
  <c r="K7" i="5"/>
  <c r="E7" i="5"/>
  <c r="P7" i="5"/>
  <c r="L7" i="5"/>
  <c r="C8" i="5"/>
  <c r="O7" i="5"/>
  <c r="Q7" i="5" s="1"/>
  <c r="F15" i="1"/>
  <c r="I16" i="4"/>
  <c r="F15" i="4"/>
  <c r="F16" i="4" s="1"/>
  <c r="F17" i="4" s="1"/>
  <c r="F18" i="4" s="1"/>
  <c r="H18" i="4"/>
  <c r="I16" i="2"/>
  <c r="I17" i="2"/>
  <c r="H17" i="2"/>
  <c r="H18" i="2"/>
  <c r="N37" i="4"/>
  <c r="P13" i="4"/>
  <c r="B12" i="1"/>
  <c r="F23" i="1" s="1"/>
  <c r="N8" i="5" l="1"/>
  <c r="E8" i="5"/>
  <c r="O8" i="5"/>
  <c r="Q8" i="5" s="1"/>
  <c r="C9" i="5"/>
  <c r="L8" i="5"/>
  <c r="I8" i="5"/>
  <c r="P8" i="5"/>
  <c r="K8" i="5"/>
  <c r="R8" i="5"/>
  <c r="S8" i="5" s="1"/>
  <c r="J7" i="5"/>
  <c r="H8" i="5"/>
  <c r="J8" i="5" s="1"/>
  <c r="M8" i="5"/>
  <c r="I17" i="4"/>
  <c r="I18" i="4"/>
  <c r="G12" i="1"/>
  <c r="G13" i="1"/>
  <c r="G14" i="1"/>
  <c r="G15" i="1"/>
  <c r="G16" i="1"/>
  <c r="C23" i="1"/>
  <c r="P9" i="5" l="1"/>
  <c r="H9" i="5"/>
  <c r="O9" i="5"/>
  <c r="Q9" i="5" s="1"/>
  <c r="E9" i="5"/>
  <c r="I9" i="5"/>
  <c r="N9" i="5"/>
  <c r="M9" i="5"/>
  <c r="K9" i="5"/>
  <c r="C10" i="5"/>
  <c r="L9" i="5"/>
  <c r="R9" i="5"/>
  <c r="S9" i="5" s="1"/>
  <c r="E2" i="4"/>
  <c r="E2" i="2"/>
  <c r="D12" i="1"/>
  <c r="H10" i="5" l="1"/>
  <c r="J10" i="5" s="1"/>
  <c r="J9" i="5"/>
  <c r="I10" i="5"/>
  <c r="R10" i="5"/>
  <c r="S10" i="5" s="1"/>
  <c r="P10" i="5"/>
  <c r="L10" i="5"/>
  <c r="O10" i="5"/>
  <c r="Q10" i="5" s="1"/>
  <c r="C11" i="5"/>
  <c r="K10" i="5"/>
  <c r="N10" i="5"/>
  <c r="E10" i="5"/>
  <c r="M10" i="5"/>
  <c r="I14" i="2"/>
  <c r="P12" i="4"/>
  <c r="N36" i="4"/>
  <c r="F42" i="4"/>
  <c r="F41" i="4"/>
  <c r="F40" i="4"/>
  <c r="F39" i="4"/>
  <c r="I40" i="4"/>
  <c r="H41" i="4"/>
  <c r="H42" i="4"/>
  <c r="I38" i="4"/>
  <c r="D37" i="4"/>
  <c r="H38" i="4"/>
  <c r="K11" i="5" l="1"/>
  <c r="N11" i="5"/>
  <c r="M11" i="5"/>
  <c r="R11" i="5"/>
  <c r="S11" i="5" s="1"/>
  <c r="I11" i="5"/>
  <c r="L11" i="5"/>
  <c r="P11" i="5"/>
  <c r="H11" i="5"/>
  <c r="J11" i="5" s="1"/>
  <c r="O11" i="5"/>
  <c r="E11" i="5"/>
  <c r="I42" i="4"/>
  <c r="I41" i="4"/>
  <c r="H16" i="4"/>
  <c r="H40" i="4" s="1"/>
  <c r="I39" i="4"/>
  <c r="H15" i="4"/>
  <c r="E14" i="4"/>
  <c r="D13" i="4"/>
  <c r="E5" i="4"/>
  <c r="V18" i="4" s="1"/>
  <c r="F4" i="4"/>
  <c r="F3" i="4"/>
  <c r="D12" i="4" s="1"/>
  <c r="D36" i="4" s="1"/>
  <c r="D13" i="2"/>
  <c r="N13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12" i="2"/>
  <c r="H15" i="2"/>
  <c r="I15" i="2"/>
  <c r="H16" i="2"/>
  <c r="I18" i="2"/>
  <c r="H14" i="2"/>
  <c r="E14" i="2"/>
  <c r="M14" i="2" s="1"/>
  <c r="F4" i="2"/>
  <c r="F3" i="2"/>
  <c r="D12" i="2" s="1"/>
  <c r="E5" i="2"/>
  <c r="B23" i="1"/>
  <c r="Q11" i="5" l="1"/>
  <c r="H39" i="4"/>
  <c r="J14" i="4"/>
  <c r="O14" i="4"/>
  <c r="P14" i="4" s="1"/>
  <c r="K14" i="4"/>
  <c r="M14" i="4" s="1"/>
  <c r="N14" i="2"/>
  <c r="J14" i="2"/>
  <c r="L14" i="2" s="1"/>
  <c r="A23" i="1"/>
  <c r="D23" i="1"/>
  <c r="E15" i="4"/>
  <c r="E38" i="4"/>
  <c r="E15" i="2"/>
  <c r="L14" i="4" l="1"/>
  <c r="N14" i="4"/>
  <c r="E16" i="4"/>
  <c r="G40" i="4" s="1"/>
  <c r="K15" i="4"/>
  <c r="M15" i="4" s="1"/>
  <c r="O15" i="4"/>
  <c r="P15" i="4" s="1"/>
  <c r="J15" i="4"/>
  <c r="J38" i="4"/>
  <c r="M38" i="4"/>
  <c r="N38" i="4" s="1"/>
  <c r="K14" i="2"/>
  <c r="J15" i="2"/>
  <c r="L15" i="2" s="1"/>
  <c r="M15" i="2"/>
  <c r="N15" i="2" s="1"/>
  <c r="G39" i="4"/>
  <c r="E40" i="4"/>
  <c r="E39" i="4"/>
  <c r="E17" i="4"/>
  <c r="E16" i="2"/>
  <c r="G15" i="2"/>
  <c r="L15" i="4" l="1"/>
  <c r="N15" i="4"/>
  <c r="O17" i="4"/>
  <c r="P17" i="4" s="1"/>
  <c r="J17" i="4"/>
  <c r="K17" i="4"/>
  <c r="M17" i="4" s="1"/>
  <c r="J39" i="4"/>
  <c r="M39" i="4"/>
  <c r="N39" i="4" s="1"/>
  <c r="J40" i="4"/>
  <c r="M40" i="4"/>
  <c r="N40" i="4" s="1"/>
  <c r="J16" i="4"/>
  <c r="K16" i="4"/>
  <c r="M16" i="4" s="1"/>
  <c r="O16" i="4"/>
  <c r="P16" i="4" s="1"/>
  <c r="M16" i="2"/>
  <c r="N16" i="2" s="1"/>
  <c r="J16" i="2"/>
  <c r="L16" i="2" s="1"/>
  <c r="E41" i="4"/>
  <c r="K38" i="4"/>
  <c r="L38" i="4"/>
  <c r="K15" i="2"/>
  <c r="E18" i="4"/>
  <c r="G41" i="4"/>
  <c r="E17" i="2"/>
  <c r="G16" i="2"/>
  <c r="N17" i="4" l="1"/>
  <c r="L17" i="4"/>
  <c r="N16" i="4"/>
  <c r="L16" i="4"/>
  <c r="O18" i="4"/>
  <c r="P18" i="4" s="1"/>
  <c r="J18" i="4"/>
  <c r="K18" i="4"/>
  <c r="M18" i="4" s="1"/>
  <c r="J41" i="4"/>
  <c r="M41" i="4"/>
  <c r="N41" i="4" s="1"/>
  <c r="M17" i="2"/>
  <c r="J17" i="2"/>
  <c r="L17" i="2" s="1"/>
  <c r="K39" i="4"/>
  <c r="L39" i="4"/>
  <c r="E42" i="4"/>
  <c r="K40" i="4"/>
  <c r="L40" i="4"/>
  <c r="G42" i="4"/>
  <c r="K16" i="2"/>
  <c r="G17" i="2"/>
  <c r="E18" i="2"/>
  <c r="L18" i="4" l="1"/>
  <c r="N18" i="4"/>
  <c r="J42" i="4"/>
  <c r="M42" i="4"/>
  <c r="N42" i="4" s="1"/>
  <c r="J18" i="2"/>
  <c r="L18" i="2" s="1"/>
  <c r="M18" i="2"/>
  <c r="N18" i="2" s="1"/>
  <c r="K41" i="4"/>
  <c r="L41" i="4"/>
  <c r="K17" i="2"/>
  <c r="N17" i="2"/>
  <c r="G18" i="2"/>
  <c r="K42" i="4" l="1"/>
  <c r="L42" i="4"/>
  <c r="K18" i="2"/>
  <c r="B13" i="1" l="1"/>
  <c r="F24" i="1" s="1"/>
  <c r="A22" i="1"/>
  <c r="C24" i="1" l="1"/>
  <c r="D13" i="1"/>
  <c r="B24" i="1"/>
  <c r="G38" i="4"/>
  <c r="B14" i="1"/>
  <c r="F25" i="1" s="1"/>
  <c r="B25" i="1" l="1"/>
  <c r="C25" i="1"/>
  <c r="D14" i="1"/>
  <c r="A24" i="1"/>
  <c r="D24" i="1"/>
  <c r="G14" i="2"/>
  <c r="B15" i="1"/>
  <c r="F26" i="1" s="1"/>
  <c r="B26" i="1" l="1"/>
  <c r="C26" i="1"/>
  <c r="D15" i="1"/>
  <c r="A25" i="1"/>
  <c r="D25" i="1"/>
  <c r="B16" i="1"/>
  <c r="F27" i="1" s="1"/>
  <c r="B27" i="1" l="1"/>
  <c r="C27" i="1"/>
  <c r="D16" i="1"/>
  <c r="A26" i="1"/>
  <c r="D26" i="1"/>
  <c r="A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CarlosErazo</author>
  </authors>
  <commentList>
    <comment ref="G12" authorId="0" shapeId="0" xr:uid="{D7D168E6-23C2-4CCE-815B-CFC874F4305F}">
      <text>
        <r>
          <rPr>
            <b/>
            <sz val="9"/>
            <color indexed="81"/>
            <rFont val="Tahoma"/>
            <family val="2"/>
          </rPr>
          <t>CarlosErazo:</t>
        </r>
        <r>
          <rPr>
            <sz val="9"/>
            <color indexed="81"/>
            <rFont val="Tahoma"/>
            <family val="2"/>
          </rPr>
          <t xml:space="preserve">
Celdas usadas para la gráfica de incertidumbre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CarlosErazo</author>
  </authors>
  <commentList>
    <comment ref="N12" authorId="0" shapeId="0" xr:uid="{CF4BB31C-CDB9-49DE-AE22-66A95F53D6B1}">
      <text>
        <r>
          <rPr>
            <b/>
            <sz val="9"/>
            <color indexed="81"/>
            <rFont val="Tahoma"/>
            <family val="2"/>
          </rPr>
          <t>CarlosErazo:</t>
        </r>
        <r>
          <rPr>
            <sz val="9"/>
            <color indexed="81"/>
            <rFont val="Tahoma"/>
            <family val="2"/>
          </rPr>
          <t xml:space="preserve">
Pasa
Pasa Condicionado
No Pasa Condicionado
No Pasa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CarlosErazo</author>
  </authors>
  <commentList>
    <comment ref="Q5" authorId="0" shapeId="0" xr:uid="{A22A7EF8-BBFD-48A3-96D2-6137D5412D1A}">
      <text>
        <r>
          <rPr>
            <b/>
            <sz val="9"/>
            <color indexed="81"/>
            <rFont val="Tahoma"/>
            <family val="2"/>
          </rPr>
          <t>CarlosErazo:</t>
        </r>
        <r>
          <rPr>
            <sz val="9"/>
            <color indexed="81"/>
            <rFont val="Tahoma"/>
            <family val="2"/>
          </rPr>
          <t xml:space="preserve">
Pasa
Pasa Condicionado
No Pasa Condicionado
No pasa</t>
        </r>
      </text>
    </comment>
  </commentList>
</comments>
</file>

<file path=xl/sharedStrings.xml><?xml version="1.0" encoding="utf-8"?>
<sst xmlns="http://schemas.openxmlformats.org/spreadsheetml/2006/main" count="128" uniqueCount="75">
  <si>
    <t>Proceso:</t>
  </si>
  <si>
    <t>Norma:</t>
  </si>
  <si>
    <t>EMP:</t>
  </si>
  <si>
    <t>Unidades</t>
  </si>
  <si>
    <t>Prov.Calibración</t>
  </si>
  <si>
    <t>Acreditado-ONAC</t>
  </si>
  <si>
    <t>Acreditado-Internacional</t>
  </si>
  <si>
    <t>NoAcreditado-Trazabilidad</t>
  </si>
  <si>
    <t>CalibraciónFabricante</t>
  </si>
  <si>
    <t>Calibración interna</t>
  </si>
  <si>
    <t>°C</t>
  </si>
  <si>
    <t>mm</t>
  </si>
  <si>
    <t>mol</t>
  </si>
  <si>
    <t>ph</t>
  </si>
  <si>
    <t>Indicación
Promedio</t>
  </si>
  <si>
    <r>
      <t xml:space="preserve">Error Máximo Permisible "EMP"
</t>
    </r>
    <r>
      <rPr>
        <i/>
        <sz val="8"/>
        <rFont val="Times New Roman"/>
        <family val="1"/>
      </rPr>
      <t>(norma, proceso, ley, Aseg.met, cliente,otros)</t>
    </r>
  </si>
  <si>
    <t>Nombre:</t>
  </si>
  <si>
    <t>Codigo:</t>
  </si>
  <si>
    <r>
      <rPr>
        <b/>
        <sz val="10"/>
        <rFont val="Calibri"/>
        <family val="2"/>
      </rPr>
      <t>±</t>
    </r>
    <r>
      <rPr>
        <b/>
        <sz val="10"/>
        <rFont val="Times New Roman"/>
        <family val="1"/>
      </rPr>
      <t xml:space="preserve"> U
k=2@95%</t>
    </r>
  </si>
  <si>
    <t>Resultado medición</t>
  </si>
  <si>
    <t>e</t>
  </si>
  <si>
    <t>EMP/3</t>
  </si>
  <si>
    <t>mg/L</t>
  </si>
  <si>
    <r>
      <t>p</t>
    </r>
    <r>
      <rPr>
        <vertAlign val="subscript"/>
        <sz val="11"/>
        <color theme="1"/>
        <rFont val="Calibri"/>
        <family val="2"/>
        <scheme val="minor"/>
      </rPr>
      <t>c</t>
    </r>
  </si>
  <si>
    <t>Conformidad</t>
  </si>
  <si>
    <t>Riesgo</t>
  </si>
  <si>
    <t>Acep.Simple - Riesgo compartido ASME B 89.7.3.1</t>
  </si>
  <si>
    <t>´+</t>
  </si>
  <si>
    <t>´-</t>
  </si>
  <si>
    <r>
      <t>p</t>
    </r>
    <r>
      <rPr>
        <strike/>
        <vertAlign val="subscript"/>
        <sz val="11"/>
        <color theme="1"/>
        <rFont val="Calibri"/>
        <family val="2"/>
        <scheme val="minor"/>
      </rPr>
      <t>c</t>
    </r>
  </si>
  <si>
    <t>z</t>
  </si>
  <si>
    <r>
      <t>%p</t>
    </r>
    <r>
      <rPr>
        <vertAlign val="subscript"/>
        <sz val="11"/>
        <color theme="1"/>
        <rFont val="Calibri"/>
        <family val="2"/>
        <scheme val="minor"/>
      </rPr>
      <t>c</t>
    </r>
  </si>
  <si>
    <r>
      <rPr>
        <b/>
        <sz val="9"/>
        <color theme="1"/>
        <rFont val="Calibri"/>
        <family val="2"/>
        <scheme val="minor"/>
      </rPr>
      <t xml:space="preserve">Seleccione
Probabillidad de confomidad
</t>
    </r>
    <r>
      <rPr>
        <b/>
        <sz val="11"/>
        <color theme="1"/>
        <rFont val="Calibri"/>
        <family val="2"/>
        <scheme val="minor"/>
      </rPr>
      <t>%p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</si>
  <si>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rPr>
        <b/>
        <sz val="11"/>
        <color theme="1"/>
        <rFont val="Calibri"/>
        <family val="2"/>
        <scheme val="minor"/>
      </rPr>
      <t>%p</t>
    </r>
    <r>
      <rPr>
        <b/>
        <vertAlign val="subscript"/>
        <sz val="11"/>
        <color theme="1"/>
        <rFont val="Calibri"/>
        <family val="2"/>
        <scheme val="minor"/>
      </rPr>
      <t>c</t>
    </r>
  </si>
  <si>
    <t>95%@k=</t>
  </si>
  <si>
    <r>
      <rPr>
        <b/>
        <sz val="10"/>
        <rFont val="Calibri"/>
        <family val="2"/>
      </rPr>
      <t>±</t>
    </r>
    <r>
      <rPr>
        <b/>
        <sz val="10"/>
        <rFont val="Times New Roman"/>
        <family val="2"/>
      </rPr>
      <t>W=
(U/k)*</t>
    </r>
    <r>
      <rPr>
        <b/>
        <i/>
        <sz val="10"/>
        <rFont val="Times New Roman"/>
        <family val="1"/>
      </rPr>
      <t>z</t>
    </r>
  </si>
  <si>
    <t>Regla
Decisión</t>
  </si>
  <si>
    <r>
      <rPr>
        <sz val="9"/>
        <color theme="1"/>
        <rFont val="Calibri"/>
        <family val="2"/>
        <scheme val="minor"/>
      </rPr>
      <t>Zona de seguridad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W=U</t>
    </r>
  </si>
  <si>
    <t>Riesgo
específico</t>
  </si>
  <si>
    <t>6 Sigma</t>
  </si>
  <si>
    <t>3 Sigma</t>
  </si>
  <si>
    <t>ILAC G 8</t>
  </si>
  <si>
    <t>ISO 14253</t>
  </si>
  <si>
    <t>Acep.Simple</t>
  </si>
  <si>
    <t>No Crítico</t>
  </si>
  <si>
    <t>Definido por cliente</t>
  </si>
  <si>
    <t>&lt; 1 ppm</t>
  </si>
  <si>
    <t>&lt; 0,16 %</t>
  </si>
  <si>
    <t>&lt; 2,5 %</t>
  </si>
  <si>
    <t>&lt; 5 %</t>
  </si>
  <si>
    <t>&lt; 50 %</t>
  </si>
  <si>
    <r>
      <rPr>
        <sz val="9"/>
        <color theme="1"/>
        <rFont val="Calibri"/>
        <family val="2"/>
        <scheme val="minor"/>
      </rPr>
      <t>AL=TL+U</t>
    </r>
    <r>
      <rPr>
        <sz val="11"/>
        <color theme="1"/>
        <rFont val="Calibri"/>
        <family val="2"/>
        <scheme val="minor"/>
      </rPr>
      <t xml:space="preserve">
&lt; 2,5 %</t>
    </r>
  </si>
  <si>
    <t>Riesgo del cliente</t>
  </si>
  <si>
    <t>PFA</t>
  </si>
  <si>
    <t>PFR</t>
  </si>
  <si>
    <r>
      <rPr>
        <b/>
        <sz val="10"/>
        <rFont val="Calibri"/>
        <family val="2"/>
      </rPr>
      <t>±</t>
    </r>
    <r>
      <rPr>
        <b/>
        <sz val="10"/>
        <rFont val="Times New Roman"/>
        <family val="2"/>
      </rPr>
      <t>W= rd*U</t>
    </r>
  </si>
  <si>
    <t xml:space="preserve">Seleccione
Regla 
Decisión
</t>
  </si>
  <si>
    <r>
      <rPr>
        <b/>
        <sz val="10"/>
        <rFont val="Calibri"/>
        <family val="2"/>
      </rPr>
      <t>±</t>
    </r>
    <r>
      <rPr>
        <b/>
        <sz val="10"/>
        <rFont val="Times New Roman"/>
        <family val="2"/>
      </rPr>
      <t>W= EMP±rd*U</t>
    </r>
    <r>
      <rPr>
        <b/>
        <i/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+W=EMP±rd*U                              -W=EMP±rd*U</t>
    </r>
  </si>
  <si>
    <t>UE(mL</t>
  </si>
  <si>
    <t>%</t>
  </si>
  <si>
    <t>Conformidad
|R|+U&gt;EMP NP
|R|+U&lt;EMP P</t>
  </si>
  <si>
    <t>Probabilidad Conformidad 50/50
resultado&lt;EMP</t>
  </si>
  <si>
    <t>EMP</t>
  </si>
  <si>
    <t>UE/mL</t>
  </si>
  <si>
    <t>Resultado</t>
  </si>
  <si>
    <t>Acep.Simple
R.Comp</t>
  </si>
  <si>
    <t>TUR 
&gt;= 10
Riesgo=0</t>
  </si>
  <si>
    <t>Binario
w=U
97,7%</t>
  </si>
  <si>
    <r>
      <t xml:space="preserve">w= </t>
    </r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EMP-U</t>
    </r>
  </si>
  <si>
    <t>No Binario
W=U</t>
  </si>
  <si>
    <r>
      <t>%p</t>
    </r>
    <r>
      <rPr>
        <vertAlign val="subscript"/>
        <sz val="18"/>
        <color theme="1"/>
        <rFont val="Calibri"/>
        <family val="2"/>
        <scheme val="minor"/>
      </rPr>
      <t>c</t>
    </r>
  </si>
  <si>
    <r>
      <t>%p</t>
    </r>
    <r>
      <rPr>
        <strike/>
        <vertAlign val="subscript"/>
        <sz val="18"/>
        <color theme="1"/>
        <rFont val="Calibri"/>
        <family val="2"/>
        <scheme val="minor"/>
      </rPr>
      <t>c</t>
    </r>
  </si>
  <si>
    <t>Res&lt;=EMP</t>
  </si>
  <si>
    <t>U&lt;=EMP/3</t>
  </si>
  <si>
    <t>pc=97,5%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</si>
</sst>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b/>
      <sz val="10"/>
      <name val="Calibri"/>
      <family val="2"/>
    </font>
    <font>
      <b/>
      <sz val="10"/>
      <name val="Times New Roman"/>
      <family val="1"/>
    </font>
    <font>
      <b/>
      <sz val="10"/>
      <name val="Times New Roman"/>
      <family val="2"/>
    </font>
    <font>
      <vertAlign val="sub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vertAlign val="sub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strike/>
      <sz val="18"/>
      <color theme="1"/>
      <name val="Calibri"/>
      <family val="2"/>
      <scheme val="minor"/>
    </font>
    <font>
      <strike/>
      <vertAlign val="subscript"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220">
    <xf numFmtId="0" fontId="0" fillId="0" borderId="0" xfId="0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2" fontId="0" fillId="0" borderId="30" xfId="0" applyNumberForma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2" fontId="0" fillId="0" borderId="31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2" fontId="0" fillId="0" borderId="32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hidden="1"/>
    </xf>
    <xf numFmtId="2" fontId="0" fillId="0" borderId="18" xfId="0" applyNumberFormat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Border="1" applyAlignment="1" applyProtection="1">
      <alignment horizontal="center" vertical="center"/>
      <protection hidden="1"/>
    </xf>
    <xf numFmtId="2" fontId="0" fillId="2" borderId="19" xfId="0" applyNumberFormat="1" applyFill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0" fontId="0" fillId="4" borderId="0" xfId="0" applyFill="1" applyProtection="1">
      <protection locked="0"/>
    </xf>
    <xf numFmtId="0" fontId="14" fillId="2" borderId="0" xfId="2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1" fillId="5" borderId="37" xfId="0" applyFont="1" applyFill="1" applyBorder="1" applyAlignment="1" applyProtection="1">
      <alignment horizontal="center" vertical="top" wrapText="1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hidden="1"/>
    </xf>
    <xf numFmtId="2" fontId="0" fillId="2" borderId="39" xfId="0" applyNumberFormat="1" applyFill="1" applyBorder="1" applyAlignment="1" applyProtection="1">
      <alignment horizontal="center" vertical="center"/>
      <protection hidden="1"/>
    </xf>
    <xf numFmtId="2" fontId="0" fillId="5" borderId="30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5" borderId="31" xfId="0" applyNumberFormat="1" applyFill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2" fontId="0" fillId="2" borderId="28" xfId="0" applyNumberFormat="1" applyFill="1" applyBorder="1" applyAlignment="1" applyProtection="1">
      <alignment horizontal="center" vertical="center"/>
      <protection hidden="1"/>
    </xf>
    <xf numFmtId="2" fontId="0" fillId="5" borderId="32" xfId="0" applyNumberForma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locked="0" hidden="1"/>
    </xf>
    <xf numFmtId="0" fontId="0" fillId="0" borderId="17" xfId="0" applyBorder="1" applyAlignment="1" applyProtection="1">
      <alignment horizontal="center" vertical="center"/>
      <protection hidden="1"/>
    </xf>
    <xf numFmtId="2" fontId="0" fillId="0" borderId="18" xfId="0" applyNumberFormat="1" applyBorder="1" applyAlignment="1" applyProtection="1">
      <alignment horizontal="center" vertical="center" wrapText="1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2" fontId="0" fillId="0" borderId="25" xfId="0" applyNumberFormat="1" applyBorder="1" applyAlignment="1" applyProtection="1">
      <alignment horizontal="center" vertical="center" wrapText="1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 wrapText="1"/>
      <protection hidden="1"/>
    </xf>
    <xf numFmtId="0" fontId="0" fillId="2" borderId="5" xfId="0" applyFill="1" applyBorder="1" applyProtection="1"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0" fillId="2" borderId="35" xfId="0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35" xfId="0" applyNumberFormat="1" applyFill="1" applyBorder="1" applyAlignment="1" applyProtection="1">
      <alignment horizontal="center" vertical="center"/>
      <protection locked="0"/>
    </xf>
    <xf numFmtId="0" fontId="0" fillId="2" borderId="34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wrapText="1"/>
      <protection locked="0"/>
    </xf>
    <xf numFmtId="0" fontId="13" fillId="5" borderId="6" xfId="0" applyNumberFormat="1" applyFont="1" applyFill="1" applyBorder="1" applyAlignment="1" applyProtection="1">
      <alignment horizontal="center" wrapText="1"/>
      <protection locked="0"/>
    </xf>
    <xf numFmtId="0" fontId="0" fillId="2" borderId="34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NumberFormat="1" applyFill="1" applyBorder="1" applyAlignment="1" applyProtection="1">
      <alignment horizontal="center" vertical="center" wrapText="1"/>
      <protection locked="0"/>
    </xf>
    <xf numFmtId="0" fontId="13" fillId="5" borderId="6" xfId="0" applyFont="1" applyFill="1" applyBorder="1" applyAlignment="1" applyProtection="1">
      <alignment horizontal="center" wrapText="1"/>
      <protection locked="0"/>
    </xf>
    <xf numFmtId="0" fontId="18" fillId="2" borderId="38" xfId="0" applyFont="1" applyFill="1" applyBorder="1" applyAlignment="1" applyProtection="1">
      <alignment horizontal="center" vertical="center"/>
      <protection hidden="1"/>
    </xf>
    <xf numFmtId="2" fontId="1" fillId="5" borderId="30" xfId="0" applyNumberFormat="1" applyFont="1" applyFill="1" applyBorder="1" applyAlignment="1" applyProtection="1">
      <alignment horizontal="center" vertical="center"/>
      <protection hidden="1"/>
    </xf>
    <xf numFmtId="2" fontId="1" fillId="5" borderId="31" xfId="0" applyNumberFormat="1" applyFont="1" applyFill="1" applyBorder="1" applyAlignment="1" applyProtection="1">
      <alignment horizontal="center" vertical="center"/>
      <protection hidden="1"/>
    </xf>
    <xf numFmtId="0" fontId="18" fillId="2" borderId="32" xfId="0" applyFont="1" applyFill="1" applyBorder="1" applyAlignment="1" applyProtection="1">
      <alignment horizontal="center" vertical="center"/>
      <protection hidden="1"/>
    </xf>
    <xf numFmtId="2" fontId="1" fillId="5" borderId="32" xfId="0" applyNumberFormat="1" applyFont="1" applyFill="1" applyBorder="1" applyAlignment="1" applyProtection="1">
      <alignment horizontal="center" vertical="center"/>
      <protection hidden="1"/>
    </xf>
    <xf numFmtId="0" fontId="18" fillId="2" borderId="30" xfId="0" applyFont="1" applyFill="1" applyBorder="1" applyAlignment="1" applyProtection="1">
      <alignment horizontal="center" vertical="center"/>
      <protection hidden="1"/>
    </xf>
    <xf numFmtId="0" fontId="18" fillId="2" borderId="31" xfId="0" applyFont="1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3" fillId="0" borderId="36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2" fontId="0" fillId="0" borderId="18" xfId="0" applyNumberFormat="1" applyFont="1" applyBorder="1" applyAlignment="1" applyProtection="1">
      <alignment horizontal="center" vertical="center" wrapText="1"/>
      <protection hidden="1"/>
    </xf>
    <xf numFmtId="2" fontId="0" fillId="0" borderId="27" xfId="0" applyNumberFormat="1" applyFont="1" applyBorder="1" applyAlignment="1" applyProtection="1">
      <alignment horizontal="center" vertical="center" wrapText="1"/>
      <protection hidden="1"/>
    </xf>
    <xf numFmtId="2" fontId="0" fillId="0" borderId="45" xfId="0" applyNumberFormat="1" applyFont="1" applyBorder="1" applyAlignment="1" applyProtection="1">
      <alignment horizontal="center" vertical="center" wrapText="1"/>
      <protection hidden="1"/>
    </xf>
    <xf numFmtId="0" fontId="1" fillId="6" borderId="18" xfId="0" applyFont="1" applyFill="1" applyBorder="1" applyAlignment="1" applyProtection="1">
      <alignment horizontal="center" vertical="center" wrapText="1"/>
      <protection hidden="1"/>
    </xf>
    <xf numFmtId="0" fontId="1" fillId="6" borderId="27" xfId="0" applyFont="1" applyFill="1" applyBorder="1" applyAlignment="1" applyProtection="1">
      <alignment horizontal="center" vertical="center" wrapText="1"/>
      <protection hidden="1"/>
    </xf>
    <xf numFmtId="0" fontId="1" fillId="6" borderId="45" xfId="0" applyFont="1" applyFill="1" applyBorder="1" applyAlignment="1" applyProtection="1">
      <alignment horizontal="center" vertical="center" wrapText="1"/>
      <protection hidden="1"/>
    </xf>
    <xf numFmtId="0" fontId="0" fillId="11" borderId="18" xfId="0" applyFont="1" applyFill="1" applyBorder="1" applyAlignment="1" applyProtection="1">
      <alignment horizontal="center" vertical="center" wrapText="1"/>
      <protection hidden="1"/>
    </xf>
    <xf numFmtId="0" fontId="0" fillId="11" borderId="27" xfId="0" applyFont="1" applyFill="1" applyBorder="1" applyAlignment="1" applyProtection="1">
      <alignment horizontal="center" vertical="center" wrapText="1"/>
      <protection hidden="1"/>
    </xf>
    <xf numFmtId="0" fontId="0" fillId="11" borderId="45" xfId="0" applyFont="1" applyFill="1" applyBorder="1" applyAlignment="1" applyProtection="1">
      <alignment horizontal="center" vertical="center" wrapText="1"/>
      <protection hidden="1"/>
    </xf>
    <xf numFmtId="0" fontId="7" fillId="6" borderId="34" xfId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2" fillId="0" borderId="13" xfId="1" applyBorder="1" applyAlignment="1" applyProtection="1">
      <alignment horizontal="center" vertical="center"/>
      <protection locked="0"/>
    </xf>
    <xf numFmtId="0" fontId="2" fillId="0" borderId="14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center" vertical="center"/>
      <protection locked="0"/>
    </xf>
    <xf numFmtId="0" fontId="2" fillId="0" borderId="11" xfId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1" applyBorder="1" applyAlignment="1" applyProtection="1">
      <alignment horizontal="center"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0" fontId="2" fillId="0" borderId="9" xfId="1" applyBorder="1" applyAlignment="1" applyProtection="1">
      <alignment horizontal="center" vertical="center"/>
      <protection locked="0"/>
    </xf>
    <xf numFmtId="0" fontId="13" fillId="7" borderId="36" xfId="0" applyFont="1" applyFill="1" applyBorder="1" applyAlignment="1" applyProtection="1">
      <alignment horizontal="center" vertical="center" wrapText="1"/>
      <protection locked="0"/>
    </xf>
    <xf numFmtId="0" fontId="13" fillId="7" borderId="40" xfId="0" applyFont="1" applyFill="1" applyBorder="1" applyAlignment="1" applyProtection="1">
      <alignment horizontal="center" vertical="center" wrapText="1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0" fontId="13" fillId="10" borderId="36" xfId="0" applyFont="1" applyFill="1" applyBorder="1" applyAlignment="1" applyProtection="1">
      <alignment horizontal="center" vertical="center" wrapText="1"/>
      <protection locked="0"/>
    </xf>
    <xf numFmtId="0" fontId="13" fillId="10" borderId="40" xfId="0" applyFont="1" applyFill="1" applyBorder="1" applyAlignment="1" applyProtection="1">
      <alignment horizontal="center" vertical="center" wrapText="1"/>
      <protection locked="0"/>
    </xf>
    <xf numFmtId="0" fontId="13" fillId="10" borderId="37" xfId="0" applyFont="1" applyFill="1" applyBorder="1" applyAlignment="1" applyProtection="1">
      <alignment horizontal="center" vertical="center" wrapText="1"/>
      <protection locked="0"/>
    </xf>
    <xf numFmtId="0" fontId="3" fillId="0" borderId="36" xfId="1" applyFont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  <protection locked="0"/>
    </xf>
    <xf numFmtId="0" fontId="7" fillId="6" borderId="15" xfId="1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Protection="1">
      <protection locked="0"/>
    </xf>
    <xf numFmtId="0" fontId="0" fillId="0" borderId="0" xfId="0" applyProtection="1"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center"/>
      <protection locked="0"/>
    </xf>
    <xf numFmtId="0" fontId="1" fillId="11" borderId="9" xfId="0" applyFont="1" applyFill="1" applyBorder="1" applyAlignment="1" applyProtection="1">
      <alignment horizontal="center"/>
      <protection locked="0"/>
    </xf>
    <xf numFmtId="0" fontId="1" fillId="12" borderId="30" xfId="0" applyFont="1" applyFill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1" fillId="6" borderId="33" xfId="0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1" fillId="8" borderId="31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top"/>
      <protection locked="0"/>
    </xf>
    <xf numFmtId="0" fontId="1" fillId="11" borderId="43" xfId="0" applyFont="1" applyFill="1" applyBorder="1" applyAlignment="1" applyProtection="1">
      <alignment horizontal="center" vertical="top"/>
      <protection locked="0"/>
    </xf>
    <xf numFmtId="0" fontId="1" fillId="12" borderId="31" xfId="0" applyFont="1" applyFill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2" fontId="0" fillId="0" borderId="25" xfId="0" applyNumberFormat="1" applyBorder="1" applyAlignment="1" applyProtection="1">
      <alignment horizontal="center" vertical="center" wrapText="1"/>
      <protection locked="0"/>
    </xf>
    <xf numFmtId="2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2" fontId="0" fillId="0" borderId="21" xfId="0" applyNumberFormat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0" borderId="6" xfId="0" applyBorder="1" applyProtection="1">
      <protection locked="0"/>
    </xf>
    <xf numFmtId="169" fontId="0" fillId="0" borderId="29" xfId="0" applyNumberFormat="1" applyBorder="1" applyAlignment="1" applyProtection="1">
      <alignment horizontal="center" vertical="center"/>
      <protection hidden="1"/>
    </xf>
    <xf numFmtId="0" fontId="1" fillId="6" borderId="16" xfId="0" applyFont="1" applyFill="1" applyBorder="1" applyAlignment="1" applyProtection="1">
      <alignment horizontal="center" vertical="center" wrapText="1"/>
      <protection hidden="1"/>
    </xf>
    <xf numFmtId="164" fontId="0" fillId="4" borderId="30" xfId="0" applyNumberFormat="1" applyFill="1" applyBorder="1" applyAlignment="1" applyProtection="1">
      <alignment horizontal="center" vertical="center"/>
      <protection hidden="1"/>
    </xf>
    <xf numFmtId="164" fontId="1" fillId="7" borderId="30" xfId="0" applyNumberFormat="1" applyFont="1" applyFill="1" applyBorder="1" applyAlignment="1" applyProtection="1">
      <alignment horizontal="center" vertical="center"/>
      <protection hidden="1"/>
    </xf>
    <xf numFmtId="164" fontId="1" fillId="10" borderId="30" xfId="0" applyNumberFormat="1" applyFont="1" applyFill="1" applyBorder="1" applyAlignment="1" applyProtection="1">
      <alignment horizontal="center" vertical="center"/>
      <protection hidden="1"/>
    </xf>
    <xf numFmtId="164" fontId="1" fillId="8" borderId="30" xfId="0" applyNumberFormat="1" applyFont="1" applyFill="1" applyBorder="1" applyAlignment="1" applyProtection="1">
      <alignment horizontal="center" vertical="center"/>
      <protection hidden="1"/>
    </xf>
    <xf numFmtId="0" fontId="0" fillId="11" borderId="16" xfId="0" applyFont="1" applyFill="1" applyBorder="1" applyAlignment="1" applyProtection="1">
      <alignment horizontal="center" vertical="center" wrapText="1"/>
      <protection hidden="1"/>
    </xf>
    <xf numFmtId="164" fontId="11" fillId="12" borderId="30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16" xfId="0" applyNumberFormat="1" applyFont="1" applyBorder="1" applyAlignment="1" applyProtection="1">
      <alignment horizontal="center" vertical="center" wrapText="1"/>
      <protection hidden="1"/>
    </xf>
    <xf numFmtId="169" fontId="0" fillId="0" borderId="4" xfId="0" applyNumberFormat="1" applyBorder="1" applyAlignment="1" applyProtection="1">
      <alignment horizontal="center" vertical="center"/>
      <protection hidden="1"/>
    </xf>
    <xf numFmtId="0" fontId="1" fillId="6" borderId="46" xfId="0" applyFont="1" applyFill="1" applyBorder="1" applyAlignment="1" applyProtection="1">
      <alignment horizontal="center" vertical="center" wrapText="1"/>
      <protection hidden="1"/>
    </xf>
    <xf numFmtId="164" fontId="0" fillId="4" borderId="31" xfId="0" applyNumberFormat="1" applyFill="1" applyBorder="1" applyAlignment="1" applyProtection="1">
      <alignment horizontal="center" vertical="center"/>
      <protection hidden="1"/>
    </xf>
    <xf numFmtId="164" fontId="1" fillId="7" borderId="31" xfId="0" applyNumberFormat="1" applyFont="1" applyFill="1" applyBorder="1" applyAlignment="1" applyProtection="1">
      <alignment horizontal="center" vertical="center"/>
      <protection hidden="1"/>
    </xf>
    <xf numFmtId="164" fontId="1" fillId="10" borderId="31" xfId="0" applyNumberFormat="1" applyFont="1" applyFill="1" applyBorder="1" applyAlignment="1" applyProtection="1">
      <alignment horizontal="center" vertical="center"/>
      <protection hidden="1"/>
    </xf>
    <xf numFmtId="164" fontId="1" fillId="8" borderId="31" xfId="0" applyNumberFormat="1" applyFont="1" applyFill="1" applyBorder="1" applyAlignment="1" applyProtection="1">
      <alignment horizontal="center" vertical="center"/>
      <protection hidden="1"/>
    </xf>
    <xf numFmtId="0" fontId="0" fillId="11" borderId="46" xfId="0" applyFont="1" applyFill="1" applyBorder="1" applyAlignment="1" applyProtection="1">
      <alignment horizontal="center" vertical="center" wrapText="1"/>
      <protection hidden="1"/>
    </xf>
    <xf numFmtId="164" fontId="11" fillId="12" borderId="31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46" xfId="0" applyNumberFormat="1" applyFont="1" applyBorder="1" applyAlignment="1" applyProtection="1">
      <alignment horizontal="center" vertical="center" wrapText="1"/>
      <protection hidden="1"/>
    </xf>
    <xf numFmtId="169" fontId="0" fillId="0" borderId="23" xfId="0" applyNumberFormat="1" applyBorder="1" applyAlignment="1" applyProtection="1">
      <alignment horizontal="center" vertical="center"/>
      <protection hidden="1"/>
    </xf>
    <xf numFmtId="0" fontId="1" fillId="6" borderId="44" xfId="0" applyFont="1" applyFill="1" applyBorder="1" applyAlignment="1" applyProtection="1">
      <alignment horizontal="center" vertical="center" wrapText="1"/>
      <protection hidden="1"/>
    </xf>
    <xf numFmtId="164" fontId="0" fillId="4" borderId="32" xfId="0" applyNumberFormat="1" applyFill="1" applyBorder="1" applyAlignment="1" applyProtection="1">
      <alignment horizontal="center" vertical="center"/>
      <protection hidden="1"/>
    </xf>
    <xf numFmtId="164" fontId="1" fillId="7" borderId="32" xfId="0" applyNumberFormat="1" applyFont="1" applyFill="1" applyBorder="1" applyAlignment="1" applyProtection="1">
      <alignment horizontal="center" vertical="center"/>
      <protection hidden="1"/>
    </xf>
    <xf numFmtId="164" fontId="1" fillId="10" borderId="32" xfId="0" applyNumberFormat="1" applyFont="1" applyFill="1" applyBorder="1" applyAlignment="1" applyProtection="1">
      <alignment horizontal="center" vertical="center"/>
      <protection hidden="1"/>
    </xf>
    <xf numFmtId="164" fontId="1" fillId="8" borderId="32" xfId="0" applyNumberFormat="1" applyFont="1" applyFill="1" applyBorder="1" applyAlignment="1" applyProtection="1">
      <alignment horizontal="center" vertical="center"/>
      <protection hidden="1"/>
    </xf>
    <xf numFmtId="0" fontId="0" fillId="11" borderId="44" xfId="0" applyFont="1" applyFill="1" applyBorder="1" applyAlignment="1" applyProtection="1">
      <alignment horizontal="center" vertical="center" wrapText="1"/>
      <protection hidden="1"/>
    </xf>
    <xf numFmtId="164" fontId="11" fillId="12" borderId="32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44" xfId="0" applyNumberFormat="1" applyFont="1" applyBorder="1" applyAlignment="1" applyProtection="1">
      <alignment horizontal="center" vertical="center" wrapText="1"/>
      <protection hidden="1"/>
    </xf>
    <xf numFmtId="2" fontId="1" fillId="2" borderId="39" xfId="0" applyNumberFormat="1" applyFont="1" applyFill="1" applyBorder="1" applyAlignment="1" applyProtection="1">
      <alignment horizontal="center" vertical="center"/>
      <protection locked="0"/>
    </xf>
    <xf numFmtId="2" fontId="1" fillId="2" borderId="26" xfId="0" applyNumberFormat="1" applyFont="1" applyFill="1" applyBorder="1" applyAlignment="1" applyProtection="1">
      <alignment horizontal="center" vertical="center"/>
      <protection locked="0"/>
    </xf>
    <xf numFmtId="2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9" fillId="2" borderId="38" xfId="0" applyFont="1" applyFill="1" applyBorder="1" applyAlignment="1" applyProtection="1">
      <alignment horizontal="center" vertical="center" wrapText="1"/>
      <protection locked="0"/>
    </xf>
    <xf numFmtId="0" fontId="19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Normal_CC-Presion-030825" xfId="1" xr:uid="{4B8D1F93-FBF2-4947-BE8A-777444C46F05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33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Aceptación Simple - Riesgo compartido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5"/>
          <c:tx>
            <c:v>+U</c:v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'Ac.Sim&amp;R.Com'!$F$12:$F$16</c:f>
              <c:numCache>
                <c:formatCode>General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0.08</c:v>
                </c:pt>
                <c:pt idx="3">
                  <c:v>0.08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4B-4BA3-8659-DEFB37B3D942}"/>
            </c:ext>
          </c:extLst>
        </c:ser>
        <c:ser>
          <c:idx val="6"/>
          <c:order val="6"/>
          <c:tx>
            <c:v>-U</c:v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'Ac.Sim&amp;R.Com'!$G$12:$G$16</c:f>
              <c:numCache>
                <c:formatCode>General</c:formatCode>
                <c:ptCount val="5"/>
                <c:pt idx="0">
                  <c:v>-0.05</c:v>
                </c:pt>
                <c:pt idx="1">
                  <c:v>-0.05</c:v>
                </c:pt>
                <c:pt idx="2">
                  <c:v>-0.08</c:v>
                </c:pt>
                <c:pt idx="3">
                  <c:v>-0.08</c:v>
                </c:pt>
                <c:pt idx="4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4B-4BA3-8659-DEFB37B3D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807958832"/>
        <c:axId val="940481968"/>
      </c:barChart>
      <c:lineChart>
        <c:grouping val="standard"/>
        <c:varyColors val="0"/>
        <c:ser>
          <c:idx val="0"/>
          <c:order val="0"/>
          <c:tx>
            <c:v>EMP (+)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'Ac.Sim&amp;R.Com'!$B$12:$B$16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B-4BA3-8659-DEFB37B3D942}"/>
            </c:ext>
          </c:extLst>
        </c:ser>
        <c:ser>
          <c:idx val="2"/>
          <c:order val="1"/>
          <c:tx>
            <c:v>EMP (-)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'Ac.Sim&amp;R.Com'!$D$12:$D$16</c:f>
              <c:numCache>
                <c:formatCode>0.00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4B-4BA3-8659-DEFB37B3D942}"/>
            </c:ext>
          </c:extLst>
        </c:ser>
        <c:ser>
          <c:idx val="1"/>
          <c:order val="2"/>
          <c:tx>
            <c:v>EMP/3 (+)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'Ac.Sim&amp;R.Com'!$B$23:$B$27</c:f>
              <c:numCache>
                <c:formatCode>0.00</c:formatCode>
                <c:ptCount val="5"/>
                <c:pt idx="0">
                  <c:v>6.7000000000000004E-2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6.7000000000000004E-2</c:v>
                </c:pt>
                <c:pt idx="4">
                  <c:v>6.7000000000000004E-2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4B-4BA3-8659-DEFB37B3D942}"/>
            </c:ext>
          </c:extLst>
        </c:ser>
        <c:ser>
          <c:idx val="3"/>
          <c:order val="3"/>
          <c:tx>
            <c:v>EMP/3 (-)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'Ac.Sim&amp;R.Com'!$A$23:$A$27</c:f>
              <c:numCache>
                <c:formatCode>0.00</c:formatCode>
                <c:ptCount val="5"/>
                <c:pt idx="0">
                  <c:v>-6.7000000000000004E-2</c:v>
                </c:pt>
                <c:pt idx="1">
                  <c:v>-6.7000000000000004E-2</c:v>
                </c:pt>
                <c:pt idx="2">
                  <c:v>-6.7000000000000004E-2</c:v>
                </c:pt>
                <c:pt idx="3">
                  <c:v>-6.7000000000000004E-2</c:v>
                </c:pt>
                <c:pt idx="4">
                  <c:v>-6.7000000000000004E-2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4B-4BA3-8659-DEFB37B3D942}"/>
            </c:ext>
          </c:extLst>
        </c:ser>
        <c:ser>
          <c:idx val="4"/>
          <c:order val="4"/>
          <c:tx>
            <c:v>Resultados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6"/>
            <c:spPr>
              <a:solidFill>
                <a:srgbClr val="FFC000"/>
              </a:solidFill>
              <a:ln w="9525">
                <a:solidFill>
                  <a:schemeClr val="tx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'Ac.Sim&amp;R.Com'!$E$12:$E$16</c:f>
              <c:numCache>
                <c:formatCode>0.00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4B-4BA3-8659-DEFB37B3D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958832"/>
        <c:axId val="940481968"/>
      </c:lineChart>
      <c:catAx>
        <c:axId val="80795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0481968"/>
        <c:crosses val="autoZero"/>
        <c:auto val="1"/>
        <c:lblAlgn val="ctr"/>
        <c:lblOffset val="100"/>
        <c:noMultiLvlLbl val="0"/>
      </c:catAx>
      <c:valAx>
        <c:axId val="940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79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Probabilidad de Conformidad</a:t>
            </a:r>
          </a:p>
          <a:p>
            <a:pPr>
              <a:defRPr/>
            </a:pPr>
            <a:r>
              <a:rPr lang="es-CO"/>
              <a:t>50/50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 (+)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'Ac.Sim&amp;R.Com'!$B$12:$B$16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1-49B1-90E0-84914A72435B}"/>
            </c:ext>
          </c:extLst>
        </c:ser>
        <c:ser>
          <c:idx val="2"/>
          <c:order val="1"/>
          <c:tx>
            <c:v>EMP (-)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'Ac.Sim&amp;R.Com'!$D$12:$D$16</c:f>
              <c:numCache>
                <c:formatCode>0.00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1-49B1-90E0-84914A72435B}"/>
            </c:ext>
          </c:extLst>
        </c:ser>
        <c:ser>
          <c:idx val="1"/>
          <c:order val="2"/>
          <c:tx>
            <c:v>Indicación Promedio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'Ac.Sim&amp;R.Com'!$F$12:$F$16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plus>
            <c:minus>
              <c:numRef>
                <c:f>'Ac.Sim&amp;R.Com'!$F$12:$F$16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/>
                </a:solidFill>
                <a:round/>
              </a:ln>
              <a:effectLst/>
            </c:spPr>
          </c:errBars>
          <c:val>
            <c:numRef>
              <c:f>'Ac.Sim&amp;R.Com'!$E$12:$E$16</c:f>
              <c:numCache>
                <c:formatCode>0.00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D1-49B1-90E0-84914A724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487904"/>
        <c:axId val="814819568"/>
      </c:lineChart>
      <c:catAx>
        <c:axId val="86548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4819568"/>
        <c:crosses val="autoZero"/>
        <c:auto val="1"/>
        <c:lblAlgn val="ctr"/>
        <c:lblOffset val="100"/>
        <c:noMultiLvlLbl val="0"/>
      </c:catAx>
      <c:valAx>
        <c:axId val="8148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EMP (+/-)</a:t>
                </a:r>
              </a:p>
            </c:rich>
          </c:tx>
          <c:layout>
            <c:manualLayout>
              <c:xMode val="edge"/>
              <c:yMode val="edge"/>
              <c:x val="9.5096582466567603E-2"/>
              <c:y val="0.2739548702245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5487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dk1">
            <a:lumMod val="110000"/>
            <a:satMod val="105000"/>
            <a:tint val="67000"/>
          </a:schemeClr>
        </a:gs>
        <a:gs pos="50000">
          <a:schemeClr val="dk1">
            <a:lumMod val="105000"/>
            <a:satMod val="103000"/>
            <a:tint val="73000"/>
          </a:schemeClr>
        </a:gs>
        <a:gs pos="100000">
          <a:schemeClr val="dk1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No Binaria con Zona de Seguridad</a:t>
            </a:r>
          </a:p>
          <a:p>
            <a:pPr>
              <a:defRPr/>
            </a:pPr>
            <a:r>
              <a:rPr lang="es-CO"/>
              <a:t>±W=rd*U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 (+)</c:v>
          </c:tx>
          <c:spPr>
            <a:ln w="25400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'Amb&amp;Ind-Seg.Fija=U'!$E$14:$E$18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F-4FCD-AEE3-F6F3DF39C926}"/>
            </c:ext>
          </c:extLst>
        </c:ser>
        <c:ser>
          <c:idx val="2"/>
          <c:order val="1"/>
          <c:tx>
            <c:v>EMP (-)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'Amb&amp;Ind-Seg.Fija=U'!$G$14:$G$18</c:f>
              <c:numCache>
                <c:formatCode>0.00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F-4FCD-AEE3-F6F3DF39C926}"/>
            </c:ext>
          </c:extLst>
        </c:ser>
        <c:ser>
          <c:idx val="4"/>
          <c:order val="2"/>
          <c:tx>
            <c:v>Resultados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8"/>
            <c:spPr>
              <a:solidFill>
                <a:srgbClr val="FFC000"/>
              </a:solidFill>
              <a:ln w="9525">
                <a:solidFill>
                  <a:schemeClr val="tx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plus>
            <c:min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/>
                </a:solidFill>
                <a:round/>
              </a:ln>
              <a:effectLst/>
            </c:spPr>
          </c:errBars>
          <c:val>
            <c:numRef>
              <c:f>'Amb&amp;Ind-Seg.Fija=U'!$H$14:$H$18</c:f>
              <c:numCache>
                <c:formatCode>0.00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8F-4FCD-AEE3-F6F3DF39C926}"/>
            </c:ext>
          </c:extLst>
        </c:ser>
        <c:ser>
          <c:idx val="1"/>
          <c:order val="3"/>
          <c:tx>
            <c:v>W=(U/k)*z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'Binaria - No Binaria'!$J$14:$J$18</c:f>
              <c:numCache>
                <c:formatCode>0.00</c:formatCode>
                <c:ptCount val="5"/>
                <c:pt idx="0">
                  <c:v>0.1585</c:v>
                </c:pt>
                <c:pt idx="1">
                  <c:v>0.1585</c:v>
                </c:pt>
                <c:pt idx="2">
                  <c:v>0.1336</c:v>
                </c:pt>
                <c:pt idx="3">
                  <c:v>0.1336</c:v>
                </c:pt>
                <c:pt idx="4">
                  <c:v>0.11700000000000001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8F-4FCD-AEE3-F6F3DF39C926}"/>
            </c:ext>
          </c:extLst>
        </c:ser>
        <c:ser>
          <c:idx val="3"/>
          <c:order val="4"/>
          <c:tx>
            <c:v>W=(U/k)*z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'Binaria - No Binaria'!$L$14:$L$18</c:f>
              <c:numCache>
                <c:formatCode>0.00</c:formatCode>
                <c:ptCount val="5"/>
                <c:pt idx="0">
                  <c:v>-0.1585</c:v>
                </c:pt>
                <c:pt idx="1">
                  <c:v>-0.1585</c:v>
                </c:pt>
                <c:pt idx="2">
                  <c:v>-0.1336</c:v>
                </c:pt>
                <c:pt idx="3">
                  <c:v>-0.1336</c:v>
                </c:pt>
                <c:pt idx="4">
                  <c:v>-0.11700000000000001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8F-4FCD-AEE3-F6F3DF39C926}"/>
            </c:ext>
          </c:extLst>
        </c:ser>
        <c:ser>
          <c:idx val="5"/>
          <c:order val="5"/>
          <c:tx>
            <c:v>W=EMP+(U/k)*z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'Binaria - No Binaria'!$K$14:$K$18</c:f>
              <c:numCache>
                <c:formatCode>0.00</c:formatCode>
                <c:ptCount val="5"/>
                <c:pt idx="0">
                  <c:v>0.24150000000000002</c:v>
                </c:pt>
                <c:pt idx="1">
                  <c:v>0.24150000000000002</c:v>
                </c:pt>
                <c:pt idx="2">
                  <c:v>0.26640000000000003</c:v>
                </c:pt>
                <c:pt idx="3">
                  <c:v>0.26640000000000003</c:v>
                </c:pt>
                <c:pt idx="4">
                  <c:v>0.28300000000000003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8F-4FCD-AEE3-F6F3DF39C926}"/>
            </c:ext>
          </c:extLst>
        </c:ser>
        <c:ser>
          <c:idx val="6"/>
          <c:order val="6"/>
          <c:tx>
            <c:v>W=EMP-(U/k)*z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'Binaria - No Binaria'!$M$14:$M$18</c:f>
              <c:numCache>
                <c:formatCode>0.00</c:formatCode>
                <c:ptCount val="5"/>
                <c:pt idx="0">
                  <c:v>-0.24150000000000002</c:v>
                </c:pt>
                <c:pt idx="1">
                  <c:v>-0.24150000000000002</c:v>
                </c:pt>
                <c:pt idx="2">
                  <c:v>-0.26640000000000003</c:v>
                </c:pt>
                <c:pt idx="3">
                  <c:v>-0.26640000000000003</c:v>
                </c:pt>
                <c:pt idx="4">
                  <c:v>-0.28300000000000003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8F-4FCD-AEE3-F6F3DF39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958832"/>
        <c:axId val="940481968"/>
      </c:lineChart>
      <c:catAx>
        <c:axId val="80795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0481968"/>
        <c:crosses val="autoZero"/>
        <c:auto val="1"/>
        <c:lblAlgn val="ctr"/>
        <c:lblOffset val="100"/>
        <c:noMultiLvlLbl val="0"/>
      </c:catAx>
      <c:valAx>
        <c:axId val="940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79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Binaria con Zona de Seguridad</a:t>
            </a:r>
          </a:p>
          <a:p>
            <a:pPr>
              <a:defRPr/>
            </a:pPr>
            <a:r>
              <a:rPr lang="es-CO"/>
              <a:t>W=rd*U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 (+)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'Binaria - No Binaria'!$E$38:$E$42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59-4269-A07B-04C8B61C8280}"/>
            </c:ext>
          </c:extLst>
        </c:ser>
        <c:ser>
          <c:idx val="2"/>
          <c:order val="1"/>
          <c:tx>
            <c:v>EMP (-)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'Binaria - No Binaria'!$G$38:$G$42</c:f>
              <c:numCache>
                <c:formatCode>0.00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9-4269-A07B-04C8B61C8280}"/>
            </c:ext>
          </c:extLst>
        </c:ser>
        <c:ser>
          <c:idx val="4"/>
          <c:order val="2"/>
          <c:tx>
            <c:v>Resultados</c:v>
          </c:tx>
          <c:spPr>
            <a:ln w="34925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8"/>
            <c:spPr>
              <a:solidFill>
                <a:srgbClr val="FFC000"/>
              </a:solidFill>
              <a:ln w="9525">
                <a:solidFill>
                  <a:schemeClr val="tx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plus>
            <c:min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/>
                </a:solidFill>
                <a:round/>
              </a:ln>
              <a:effectLst/>
            </c:spPr>
          </c:errBars>
          <c:val>
            <c:numRef>
              <c:f>'Binaria - No Binaria'!$H$38:$H$42</c:f>
              <c:numCache>
                <c:formatCode>0.00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59-4269-A07B-04C8B61C8280}"/>
            </c:ext>
          </c:extLst>
        </c:ser>
        <c:ser>
          <c:idx val="1"/>
          <c:order val="3"/>
          <c:tx>
            <c:v>W=rd*U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'Binaria - No Binaria'!$J$38:$J$42</c:f>
              <c:numCache>
                <c:formatCode>0.00</c:formatCode>
                <c:ptCount val="5"/>
                <c:pt idx="0">
                  <c:v>0.19</c:v>
                </c:pt>
                <c:pt idx="1">
                  <c:v>0.19</c:v>
                </c:pt>
                <c:pt idx="2">
                  <c:v>0.184</c:v>
                </c:pt>
                <c:pt idx="3">
                  <c:v>0.184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59-4269-A07B-04C8B61C8280}"/>
            </c:ext>
          </c:extLst>
        </c:ser>
        <c:ser>
          <c:idx val="3"/>
          <c:order val="4"/>
          <c:tx>
            <c:v>-W=rd*U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'Binaria - No Binaria'!$L$14:$L$18</c:f>
              <c:numCache>
                <c:formatCode>0.00</c:formatCode>
                <c:ptCount val="5"/>
                <c:pt idx="0">
                  <c:v>-0.1585</c:v>
                </c:pt>
                <c:pt idx="1">
                  <c:v>-0.1585</c:v>
                </c:pt>
                <c:pt idx="2">
                  <c:v>-0.1336</c:v>
                </c:pt>
                <c:pt idx="3">
                  <c:v>-0.1336</c:v>
                </c:pt>
                <c:pt idx="4">
                  <c:v>-0.11700000000000001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59-4269-A07B-04C8B61C8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958832"/>
        <c:axId val="940481968"/>
      </c:lineChart>
      <c:catAx>
        <c:axId val="80795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0481968"/>
        <c:crosses val="autoZero"/>
        <c:auto val="1"/>
        <c:lblAlgn val="ctr"/>
        <c:lblOffset val="100"/>
        <c:noMultiLvlLbl val="0"/>
      </c:catAx>
      <c:valAx>
        <c:axId val="940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79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Caso Ambiguedad ó Indeterminación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 (+)</c:v>
          </c:tx>
          <c:spPr>
            <a:ln w="25400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'Amb&amp;Ind-Seg.Fija=U'!$E$14:$E$18</c:f>
              <c:numCache>
                <c:formatCode>0.00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2-498F-B185-B5BA690E484C}"/>
            </c:ext>
          </c:extLst>
        </c:ser>
        <c:ser>
          <c:idx val="2"/>
          <c:order val="1"/>
          <c:tx>
            <c:v>EMP (-)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'Amb&amp;Ind-Seg.Fija=U'!$G$14:$G$18</c:f>
              <c:numCache>
                <c:formatCode>0.00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B2-498F-B185-B5BA690E484C}"/>
            </c:ext>
          </c:extLst>
        </c:ser>
        <c:ser>
          <c:idx val="4"/>
          <c:order val="2"/>
          <c:tx>
            <c:v>Resultados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8"/>
            <c:spPr>
              <a:solidFill>
                <a:srgbClr val="FFC000"/>
              </a:solidFill>
              <a:ln w="9525">
                <a:solidFill>
                  <a:schemeClr val="tx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plus>
            <c:min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/>
                </a:solidFill>
                <a:round/>
              </a:ln>
              <a:effectLst/>
            </c:spPr>
          </c:errBars>
          <c:val>
            <c:numRef>
              <c:f>'Amb&amp;Ind-Seg.Fija=U'!$H$14:$H$18</c:f>
              <c:numCache>
                <c:formatCode>0.00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B2-498F-B185-B5BA690E484C}"/>
            </c:ext>
          </c:extLst>
        </c:ser>
        <c:ser>
          <c:idx val="1"/>
          <c:order val="3"/>
          <c:tx>
            <c:v>+W=(U/k)*z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'Amb&amp;Ind-Seg.Fija=U'!$J$14:$J$18</c:f>
              <c:numCache>
                <c:formatCode>0.00</c:formatCode>
                <c:ptCount val="5"/>
                <c:pt idx="0">
                  <c:v>0.159</c:v>
                </c:pt>
                <c:pt idx="1">
                  <c:v>0.159</c:v>
                </c:pt>
                <c:pt idx="2">
                  <c:v>0.13440000000000002</c:v>
                </c:pt>
                <c:pt idx="3">
                  <c:v>0.13440000000000002</c:v>
                </c:pt>
                <c:pt idx="4">
                  <c:v>0.11800000000000001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B2-498F-B185-B5BA690E484C}"/>
            </c:ext>
          </c:extLst>
        </c:ser>
        <c:ser>
          <c:idx val="3"/>
          <c:order val="4"/>
          <c:tx>
            <c:v>-W=(U/k)*z</c:v>
          </c:tx>
          <c:spPr>
            <a:ln w="34925" cap="rnd">
              <a:solidFill>
                <a:srgbClr val="0070C0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'Amb&amp;Ind-Seg.Fija=U'!$K$14:$K$18</c:f>
              <c:numCache>
                <c:formatCode>0.00</c:formatCode>
                <c:ptCount val="5"/>
                <c:pt idx="0">
                  <c:v>-0.159</c:v>
                </c:pt>
                <c:pt idx="1">
                  <c:v>-0.159</c:v>
                </c:pt>
                <c:pt idx="2">
                  <c:v>-0.13440000000000002</c:v>
                </c:pt>
                <c:pt idx="3">
                  <c:v>-0.13440000000000002</c:v>
                </c:pt>
                <c:pt idx="4">
                  <c:v>-0.11800000000000001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0B2-498F-B185-B5BA690E4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958832"/>
        <c:axId val="940481968"/>
      </c:lineChart>
      <c:catAx>
        <c:axId val="80795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0481968"/>
        <c:crosses val="autoZero"/>
        <c:auto val="1"/>
        <c:lblAlgn val="ctr"/>
        <c:lblOffset val="100"/>
        <c:noMultiLvlLbl val="0"/>
      </c:catAx>
      <c:valAx>
        <c:axId val="940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79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Caso Ambiguedad ó Indeterminación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EMP (+)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'Amb&amp;Ind-Seg.Fija=U'!#REF!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C2-4B5D-8854-7C86C8E10E9B}"/>
            </c:ext>
          </c:extLst>
        </c:ser>
        <c:ser>
          <c:idx val="2"/>
          <c:order val="1"/>
          <c:tx>
            <c:v>EMP (-)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'Ac.Sim&amp;R.Com'!$A$12:$A$16</c:f>
              <c:numCache>
                <c:formatCode>General</c:formatCode>
                <c:ptCount val="5"/>
              </c:numCache>
            </c:numRef>
          </c:cat>
          <c:val>
            <c:numRef>
              <c:f>'Amb&amp;Ind-Seg.Fija=U'!#REF!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2-4B5D-8854-7C86C8E10E9B}"/>
            </c:ext>
          </c:extLst>
        </c:ser>
        <c:ser>
          <c:idx val="4"/>
          <c:order val="2"/>
          <c:tx>
            <c:v>Resultados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plus>
            <c:minus>
              <c:numRef>
                <c:f>'Amb&amp;Ind-Seg.Fija=U'!$I$14:$I$18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0.05</c:v>
                  </c:pt>
                  <c:pt idx="2">
                    <c:v>0.08</c:v>
                  </c:pt>
                  <c:pt idx="3">
                    <c:v>0.08</c:v>
                  </c:pt>
                  <c:pt idx="4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/>
                </a:solidFill>
                <a:round/>
              </a:ln>
              <a:effectLst/>
            </c:spPr>
          </c:errBars>
          <c:val>
            <c:numRef>
              <c:f>'Amb&amp;Ind-Seg.Fija=U'!#REF!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C2-4B5D-8854-7C86C8E10E9B}"/>
            </c:ext>
          </c:extLst>
        </c:ser>
        <c:ser>
          <c:idx val="1"/>
          <c:order val="3"/>
          <c:tx>
            <c:v>+W=(U/k)*z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'Amb&amp;Ind-Seg.Fija=U'!#REF!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C2-4B5D-8854-7C86C8E10E9B}"/>
            </c:ext>
          </c:extLst>
        </c:ser>
        <c:ser>
          <c:idx val="3"/>
          <c:order val="4"/>
          <c:tx>
            <c:v>-W=(U/k)*z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'Amb&amp;Ind-Seg.Fija=U'!#REF!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C2-4B5D-8854-7C86C8E1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958832"/>
        <c:axId val="940481968"/>
      </c:lineChart>
      <c:catAx>
        <c:axId val="80795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0481968"/>
        <c:crosses val="autoZero"/>
        <c:auto val="1"/>
        <c:lblAlgn val="ctr"/>
        <c:lblOffset val="100"/>
        <c:noMultiLvlLbl val="0"/>
      </c:catAx>
      <c:valAx>
        <c:axId val="940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79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359568</xdr:colOff>
      <xdr:row>8</xdr:row>
      <xdr:rowOff>97629</xdr:rowOff>
    </xdr:from>
    <xdr:to>
      <xdr:col>16</xdr:col>
      <xdr:colOff>595312</xdr:colOff>
      <xdr:row>23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9F72E1-E9AA-4D36-A34F-CD0402E20D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24</xdr:row>
      <xdr:rowOff>83080</xdr:rowOff>
    </xdr:from>
    <xdr:to>
      <xdr:col>16</xdr:col>
      <xdr:colOff>619124</xdr:colOff>
      <xdr:row>41</xdr:row>
      <xdr:rowOff>147108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93C27D5-E83E-44CA-BD20-D19CFBFD12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18</xdr:row>
      <xdr:rowOff>109537</xdr:rowOff>
    </xdr:from>
    <xdr:to>
      <xdr:col>15</xdr:col>
      <xdr:colOff>47626</xdr:colOff>
      <xdr:row>33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B0AF4C-43A8-48FB-973A-C66C34714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638175</xdr:colOff>
      <xdr:row>42</xdr:row>
      <xdr:rowOff>161925</xdr:rowOff>
    </xdr:from>
    <xdr:to>
      <xdr:col>15</xdr:col>
      <xdr:colOff>66676</xdr:colOff>
      <xdr:row>61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6ACAAA-CB0D-449D-BEDF-8E105BCA9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18</xdr:row>
      <xdr:rowOff>109536</xdr:rowOff>
    </xdr:from>
    <xdr:to>
      <xdr:col>14</xdr:col>
      <xdr:colOff>158750</xdr:colOff>
      <xdr:row>33</xdr:row>
      <xdr:rowOff>122463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3A95E6-DD27-4B99-9E98-2AA3DBC0E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612321</xdr:colOff>
      <xdr:row>34</xdr:row>
      <xdr:rowOff>0</xdr:rowOff>
    </xdr:from>
    <xdr:to>
      <xdr:col>14</xdr:col>
      <xdr:colOff>34018</xdr:colOff>
      <xdr:row>34</xdr:row>
      <xdr:rowOff>13608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9F0496-4CD3-4D68-8578-14481BF55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95%25@k=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2C5E-DD3D-4CF7-BA6C-5F1F653D48B9}">
  <sheetPr codeName="Hoja1"/>
  <dimension ref="A1:O28"/>
  <sheetViews>
    <sheetView topLeftCell="A7" zoomScale="70" zoomScaleNormal="70" workbookViewId="0">
      <selection activeCell="C5" sqref="C5"/>
    </sheetView>
  </sheetViews>
  <sheetFormatPr baseColWidth="10" defaultRowHeight="15" x14ac:dyDescent="0.25"/>
  <cols>
    <col min="1" max="2" width="11.42578125" style="1" customWidth="1"/>
    <col min="3" max="3" width="11.85546875" style="1" bestFit="1" customWidth="1"/>
    <col min="4" max="4" width="13.28515625" style="1" customWidth="1"/>
    <col min="5" max="8" width="11.42578125" style="1"/>
    <col min="9" max="9" width="11.85546875" style="1" bestFit="1" customWidth="1"/>
    <col min="10" max="16384" width="11.42578125" style="1"/>
  </cols>
  <sheetData>
    <row r="1" spans="1:15" x14ac:dyDescent="0.25">
      <c r="O1" s="1" t="s">
        <v>3</v>
      </c>
    </row>
    <row r="2" spans="1:15" x14ac:dyDescent="0.25">
      <c r="A2" s="1" t="s">
        <v>0</v>
      </c>
      <c r="B2" s="123"/>
      <c r="C2" s="123"/>
      <c r="D2" s="123"/>
      <c r="E2" s="123"/>
      <c r="O2" s="2" t="s">
        <v>10</v>
      </c>
    </row>
    <row r="3" spans="1:15" x14ac:dyDescent="0.25">
      <c r="A3" s="1" t="s">
        <v>1</v>
      </c>
      <c r="B3" s="3" t="s">
        <v>17</v>
      </c>
      <c r="C3" s="120"/>
      <c r="D3" s="120"/>
      <c r="E3" s="4"/>
      <c r="O3" s="2" t="s">
        <v>11</v>
      </c>
    </row>
    <row r="4" spans="1:15" x14ac:dyDescent="0.25">
      <c r="B4" s="5" t="s">
        <v>16</v>
      </c>
      <c r="C4" s="120"/>
      <c r="D4" s="120"/>
      <c r="E4" s="121"/>
      <c r="O4" s="2" t="s">
        <v>12</v>
      </c>
    </row>
    <row r="5" spans="1:15" x14ac:dyDescent="0.25">
      <c r="A5" s="1" t="s">
        <v>2</v>
      </c>
      <c r="B5" s="6">
        <v>0.2</v>
      </c>
      <c r="C5" s="3" t="s">
        <v>10</v>
      </c>
      <c r="D5" s="3"/>
      <c r="E5" s="3"/>
      <c r="O5" s="2" t="s">
        <v>13</v>
      </c>
    </row>
    <row r="6" spans="1:15" x14ac:dyDescent="0.25">
      <c r="O6" s="2" t="s">
        <v>22</v>
      </c>
    </row>
    <row r="7" spans="1:15" x14ac:dyDescent="0.25">
      <c r="O7" s="2" t="s">
        <v>58</v>
      </c>
    </row>
    <row r="8" spans="1:15" x14ac:dyDescent="0.25">
      <c r="O8" s="1" t="s">
        <v>59</v>
      </c>
    </row>
    <row r="9" spans="1:15" ht="15.75" thickBot="1" x14ac:dyDescent="0.3">
      <c r="E9" s="122" t="s">
        <v>19</v>
      </c>
      <c r="F9" s="122"/>
      <c r="G9" s="122"/>
    </row>
    <row r="10" spans="1:15" ht="42" customHeight="1" thickTop="1" thickBot="1" x14ac:dyDescent="0.3">
      <c r="B10" s="113" t="s">
        <v>15</v>
      </c>
      <c r="C10" s="113"/>
      <c r="D10" s="113"/>
      <c r="E10" s="7" t="s">
        <v>14</v>
      </c>
      <c r="F10" s="107" t="s">
        <v>18</v>
      </c>
      <c r="G10" s="108"/>
    </row>
    <row r="11" spans="1:15" ht="16.5" thickTop="1" thickBot="1" x14ac:dyDescent="0.3">
      <c r="B11" s="114" t="str">
        <f>C5</f>
        <v>°C</v>
      </c>
      <c r="C11" s="115"/>
      <c r="D11" s="115"/>
      <c r="E11" s="115"/>
      <c r="F11" s="115"/>
      <c r="G11" s="116"/>
    </row>
    <row r="12" spans="1:15" ht="15.75" thickTop="1" x14ac:dyDescent="0.25">
      <c r="B12" s="44">
        <f>B5</f>
        <v>0.2</v>
      </c>
      <c r="C12" s="58">
        <v>0</v>
      </c>
      <c r="D12" s="59">
        <f>-B12</f>
        <v>-0.2</v>
      </c>
      <c r="E12" s="8">
        <v>0</v>
      </c>
      <c r="F12" s="9">
        <v>0.05</v>
      </c>
      <c r="G12" s="86">
        <f>-F12</f>
        <v>-0.05</v>
      </c>
    </row>
    <row r="13" spans="1:15" x14ac:dyDescent="0.25">
      <c r="B13" s="60">
        <f>B12</f>
        <v>0.2</v>
      </c>
      <c r="C13" s="61">
        <v>0</v>
      </c>
      <c r="D13" s="62">
        <f>-B13</f>
        <v>-0.2</v>
      </c>
      <c r="E13" s="10">
        <v>0.19</v>
      </c>
      <c r="F13" s="11">
        <f>+F12</f>
        <v>0.05</v>
      </c>
      <c r="G13" s="50">
        <f>-F13</f>
        <v>-0.05</v>
      </c>
    </row>
    <row r="14" spans="1:15" x14ac:dyDescent="0.25">
      <c r="B14" s="60">
        <f>B13</f>
        <v>0.2</v>
      </c>
      <c r="C14" s="61">
        <v>0</v>
      </c>
      <c r="D14" s="62">
        <f>-B14</f>
        <v>-0.2</v>
      </c>
      <c r="E14" s="10">
        <v>0.2</v>
      </c>
      <c r="F14" s="11">
        <v>0.08</v>
      </c>
      <c r="G14" s="50">
        <f>-F14</f>
        <v>-0.08</v>
      </c>
    </row>
    <row r="15" spans="1:15" x14ac:dyDescent="0.25">
      <c r="B15" s="60">
        <f>B14</f>
        <v>0.2</v>
      </c>
      <c r="C15" s="61">
        <v>0</v>
      </c>
      <c r="D15" s="62">
        <f>-B15</f>
        <v>-0.2</v>
      </c>
      <c r="E15" s="10">
        <v>0.21</v>
      </c>
      <c r="F15" s="11">
        <f t="shared" ref="F15" si="0">+F14</f>
        <v>0.08</v>
      </c>
      <c r="G15" s="50">
        <f>-F15</f>
        <v>-0.08</v>
      </c>
    </row>
    <row r="16" spans="1:15" ht="15.75" thickBot="1" x14ac:dyDescent="0.3">
      <c r="B16" s="63">
        <f>B15</f>
        <v>0.2</v>
      </c>
      <c r="C16" s="64">
        <v>0</v>
      </c>
      <c r="D16" s="65">
        <f>-B16</f>
        <v>-0.2</v>
      </c>
      <c r="E16" s="13">
        <v>0.3</v>
      </c>
      <c r="F16" s="14">
        <v>0.1</v>
      </c>
      <c r="G16" s="52">
        <f>-F16</f>
        <v>-0.1</v>
      </c>
    </row>
    <row r="17" spans="1:7" ht="15.75" thickTop="1" x14ac:dyDescent="0.25"/>
    <row r="18" spans="1:7" ht="15.75" thickBot="1" x14ac:dyDescent="0.3"/>
    <row r="19" spans="1:7" ht="16.5" thickTop="1" thickBot="1" x14ac:dyDescent="0.3">
      <c r="A19" s="124" t="s">
        <v>26</v>
      </c>
      <c r="B19" s="125"/>
      <c r="C19" s="125"/>
      <c r="D19" s="126"/>
      <c r="E19" s="117" t="s">
        <v>61</v>
      </c>
      <c r="F19" s="117" t="s">
        <v>60</v>
      </c>
    </row>
    <row r="20" spans="1:7" ht="15.75" thickTop="1" x14ac:dyDescent="0.25">
      <c r="A20" s="111" t="s">
        <v>21</v>
      </c>
      <c r="B20" s="112"/>
      <c r="C20" s="109" t="s">
        <v>24</v>
      </c>
      <c r="D20" s="110"/>
      <c r="E20" s="118"/>
      <c r="F20" s="118"/>
      <c r="G20" s="16"/>
    </row>
    <row r="21" spans="1:7" ht="15.75" thickBot="1" x14ac:dyDescent="0.3">
      <c r="A21" s="17" t="s">
        <v>27</v>
      </c>
      <c r="B21" s="18" t="s">
        <v>28</v>
      </c>
      <c r="C21" s="19" t="s">
        <v>20</v>
      </c>
      <c r="D21" s="18" t="s">
        <v>21</v>
      </c>
      <c r="E21" s="118"/>
      <c r="F21" s="118"/>
    </row>
    <row r="22" spans="1:7" ht="16.5" thickTop="1" thickBot="1" x14ac:dyDescent="0.3">
      <c r="A22" s="104" t="str">
        <f>B11</f>
        <v>°C</v>
      </c>
      <c r="B22" s="105"/>
      <c r="C22" s="105"/>
      <c r="D22" s="106"/>
      <c r="E22" s="119"/>
      <c r="F22" s="119"/>
    </row>
    <row r="23" spans="1:7" ht="15.75" thickTop="1" x14ac:dyDescent="0.25">
      <c r="A23" s="20">
        <f>-B23</f>
        <v>-6.7000000000000004E-2</v>
      </c>
      <c r="B23" s="21">
        <f>ROUND(B12/3,3)</f>
        <v>6.7000000000000004E-2</v>
      </c>
      <c r="C23" s="214" t="str">
        <f>IF(ABS(E12)&lt;=B12,"Pasa","No Pasa")</f>
        <v>Pasa</v>
      </c>
      <c r="D23" s="215" t="str">
        <f>IF(F12&lt;=B23,"Conforme","No Conforme")</f>
        <v>Conforme</v>
      </c>
      <c r="E23" s="89" t="str">
        <f>IF(ABS(E12)&lt;B12,"Pasa","No Pasa")</f>
        <v>Pasa</v>
      </c>
      <c r="F23" s="89" t="str">
        <f>IF(ABS(E12)+F12&gt;B12,"No Pasa","Pasa")</f>
        <v>Pasa</v>
      </c>
    </row>
    <row r="24" spans="1:7" x14ac:dyDescent="0.25">
      <c r="A24" s="22">
        <f>-B24</f>
        <v>-6.7000000000000004E-2</v>
      </c>
      <c r="B24" s="23">
        <f>ROUND(B13/3,3)</f>
        <v>6.7000000000000004E-2</v>
      </c>
      <c r="C24" s="216" t="str">
        <f t="shared" ref="C24:C27" si="1">IF(ABS(E13)&lt;=B13,"Pasa","No Pasa")</f>
        <v>Pasa</v>
      </c>
      <c r="D24" s="217" t="str">
        <f t="shared" ref="D24:D27" si="2">IF(F13&lt;=B24,"Conforme","No Conforme")</f>
        <v>Conforme</v>
      </c>
      <c r="E24" s="90" t="str">
        <f t="shared" ref="E24:E27" si="3">IF(ABS(E13)&lt;B13,"Pasa","No Pasa")</f>
        <v>Pasa</v>
      </c>
      <c r="F24" s="90" t="str">
        <f>IF(ABS(E13)+F13&gt;B13,"No Pasa","Pasa")</f>
        <v>No Pasa</v>
      </c>
    </row>
    <row r="25" spans="1:7" x14ac:dyDescent="0.25">
      <c r="A25" s="22">
        <f>-B25</f>
        <v>-6.7000000000000004E-2</v>
      </c>
      <c r="B25" s="23">
        <f>ROUND(B14/3,3)</f>
        <v>6.7000000000000004E-2</v>
      </c>
      <c r="C25" s="216" t="str">
        <f t="shared" si="1"/>
        <v>Pasa</v>
      </c>
      <c r="D25" s="217" t="str">
        <f t="shared" si="2"/>
        <v>No Conforme</v>
      </c>
      <c r="E25" s="90" t="str">
        <f t="shared" si="3"/>
        <v>No Pasa</v>
      </c>
      <c r="F25" s="90" t="str">
        <f>IF(ABS(E14)+F14&gt;B14,"No Pasa","Pasa")</f>
        <v>No Pasa</v>
      </c>
    </row>
    <row r="26" spans="1:7" x14ac:dyDescent="0.25">
      <c r="A26" s="22">
        <f>-B26</f>
        <v>-6.7000000000000004E-2</v>
      </c>
      <c r="B26" s="23">
        <f>ROUND(B15/3,3)</f>
        <v>6.7000000000000004E-2</v>
      </c>
      <c r="C26" s="216" t="str">
        <f t="shared" si="1"/>
        <v>No Pasa</v>
      </c>
      <c r="D26" s="217" t="str">
        <f t="shared" si="2"/>
        <v>No Conforme</v>
      </c>
      <c r="E26" s="90" t="str">
        <f t="shared" si="3"/>
        <v>No Pasa</v>
      </c>
      <c r="F26" s="90" t="str">
        <f>IF(ABS(E15)+F15&gt;B15,"No Pasa","Pasa")</f>
        <v>No Pasa</v>
      </c>
    </row>
    <row r="27" spans="1:7" ht="15.75" thickBot="1" x14ac:dyDescent="0.3">
      <c r="A27" s="24">
        <f>-B27</f>
        <v>-6.7000000000000004E-2</v>
      </c>
      <c r="B27" s="25">
        <f>ROUND(B16/3,3)</f>
        <v>6.7000000000000004E-2</v>
      </c>
      <c r="C27" s="218" t="str">
        <f t="shared" si="1"/>
        <v>No Pasa</v>
      </c>
      <c r="D27" s="219" t="str">
        <f t="shared" si="2"/>
        <v>No Conforme</v>
      </c>
      <c r="E27" s="91" t="str">
        <f t="shared" si="3"/>
        <v>No Pasa</v>
      </c>
      <c r="F27" s="91" t="str">
        <f>IF(ABS(E16)+F16&gt;B16,"No Pasa","Pasa")</f>
        <v>No Pasa</v>
      </c>
    </row>
    <row r="28" spans="1:7" ht="15.75" thickTop="1" x14ac:dyDescent="0.25"/>
  </sheetData>
  <sheetProtection algorithmName="SHA-512" hashValue="BxzgX4tJed3y3KZNF9WhGxBY/ZiYXPDnxkKyFMzEKRehzpHlU3syr1mY0tYLvkuPAoaqCZ56znW4Z50+sP9xgA==" saltValue="abwBfOZXbRzfMedYt5pYBg==" spinCount="100000" sheet="1" objects="1" scenarios="1"/>
  <mergeCells count="13">
    <mergeCell ref="C3:D3"/>
    <mergeCell ref="C4:E4"/>
    <mergeCell ref="E9:G9"/>
    <mergeCell ref="B2:E2"/>
    <mergeCell ref="A19:D19"/>
    <mergeCell ref="A22:D22"/>
    <mergeCell ref="F10:G10"/>
    <mergeCell ref="C20:D20"/>
    <mergeCell ref="A20:B20"/>
    <mergeCell ref="B10:D10"/>
    <mergeCell ref="B11:G11"/>
    <mergeCell ref="F19:F22"/>
    <mergeCell ref="E19:E22"/>
  </mergeCells>
  <conditionalFormatting sqref="A20">
    <cfRule type="containsText" dxfId="8" priority="2" operator="containsText" text="NC">
      <formula>NOT(ISERROR(SEARCH("NC",A20)))</formula>
    </cfRule>
  </conditionalFormatting>
  <conditionalFormatting sqref="F10">
    <cfRule type="containsText" dxfId="7" priority="1" operator="containsText" text="NC">
      <formula>NOT(ISERROR(SEARCH("NC",F10)))</formula>
    </cfRule>
  </conditionalFormatting>
  <dataValidations count="1">
    <dataValidation type="list" allowBlank="1" showInputMessage="1" showErrorMessage="1" sqref="C5" xr:uid="{E30575CD-EEDA-431A-9ED3-3D1F1A01F81E}">
      <formula1>$O$2:$O$14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E4C2-5AF5-4929-9265-2879BEEF4B3C}">
  <sheetPr codeName="Hoja3"/>
  <dimension ref="D1:X43"/>
  <sheetViews>
    <sheetView topLeftCell="B8" zoomScale="87" zoomScaleNormal="100" workbookViewId="0">
      <selection activeCell="R20" sqref="R20"/>
    </sheetView>
  </sheetViews>
  <sheetFormatPr baseColWidth="10" defaultRowHeight="15" x14ac:dyDescent="0.25"/>
  <cols>
    <col min="1" max="9" width="11.42578125" style="1"/>
    <col min="10" max="11" width="11.42578125" style="1" customWidth="1"/>
    <col min="12" max="12" width="12.42578125" style="1" customWidth="1"/>
    <col min="13" max="13" width="11.42578125" style="1" customWidth="1"/>
    <col min="14" max="14" width="12.5703125" style="1" customWidth="1"/>
    <col min="15" max="15" width="11.42578125" style="1"/>
    <col min="16" max="16" width="12" style="1" bestFit="1" customWidth="1"/>
    <col min="17" max="16384" width="11.42578125" style="1"/>
  </cols>
  <sheetData>
    <row r="1" spans="4:24" x14ac:dyDescent="0.25">
      <c r="T1" s="1" t="s">
        <v>3</v>
      </c>
      <c r="U1" s="1" t="s">
        <v>4</v>
      </c>
    </row>
    <row r="2" spans="4:24" x14ac:dyDescent="0.25">
      <c r="D2" s="1" t="s">
        <v>0</v>
      </c>
      <c r="E2" s="123">
        <f>'Ac.Sim&amp;R.Com'!B2</f>
        <v>0</v>
      </c>
      <c r="F2" s="123"/>
      <c r="G2" s="123"/>
      <c r="H2" s="123"/>
      <c r="T2" s="2" t="s">
        <v>10</v>
      </c>
      <c r="U2" s="26" t="s">
        <v>5</v>
      </c>
    </row>
    <row r="3" spans="4:24" x14ac:dyDescent="0.25">
      <c r="D3" s="1" t="s">
        <v>1</v>
      </c>
      <c r="E3" s="3" t="s">
        <v>17</v>
      </c>
      <c r="F3" s="120">
        <f>'Ac.Sim&amp;R.Com'!C3</f>
        <v>0</v>
      </c>
      <c r="G3" s="120"/>
      <c r="H3" s="4"/>
      <c r="T3" s="2" t="s">
        <v>11</v>
      </c>
      <c r="U3" s="26" t="s">
        <v>7</v>
      </c>
    </row>
    <row r="4" spans="4:24" x14ac:dyDescent="0.25">
      <c r="E4" s="5" t="s">
        <v>16</v>
      </c>
      <c r="F4" s="120">
        <f>'Ac.Sim&amp;R.Com'!C4</f>
        <v>0</v>
      </c>
      <c r="G4" s="120"/>
      <c r="H4" s="121"/>
      <c r="T4" s="2" t="s">
        <v>12</v>
      </c>
      <c r="U4" s="26" t="s">
        <v>6</v>
      </c>
    </row>
    <row r="5" spans="4:24" x14ac:dyDescent="0.25">
      <c r="D5" s="1" t="s">
        <v>2</v>
      </c>
      <c r="E5" s="6">
        <f>'Ac.Sim&amp;R.Com'!B5</f>
        <v>0.2</v>
      </c>
      <c r="F5" s="3" t="s">
        <v>10</v>
      </c>
      <c r="G5" s="3"/>
      <c r="H5" s="3"/>
      <c r="T5" s="2" t="s">
        <v>13</v>
      </c>
      <c r="U5" s="26" t="s">
        <v>8</v>
      </c>
    </row>
    <row r="6" spans="4:24" x14ac:dyDescent="0.25">
      <c r="T6" s="2" t="s">
        <v>22</v>
      </c>
      <c r="U6" s="26" t="s">
        <v>9</v>
      </c>
    </row>
    <row r="7" spans="4:24" x14ac:dyDescent="0.25">
      <c r="T7" s="2"/>
      <c r="U7" s="26"/>
    </row>
    <row r="10" spans="4:24" ht="10.5" customHeight="1" thickBot="1" x14ac:dyDescent="0.3"/>
    <row r="11" spans="4:24" ht="43.5" thickTop="1" thickBot="1" x14ac:dyDescent="0.3">
      <c r="D11" s="28"/>
      <c r="E11" s="28"/>
      <c r="F11" s="28"/>
      <c r="G11" s="28"/>
      <c r="H11" s="122"/>
      <c r="I11" s="122"/>
      <c r="J11" s="122"/>
      <c r="K11" s="28"/>
      <c r="L11" s="28"/>
      <c r="M11" s="28"/>
      <c r="N11" s="28"/>
      <c r="O11" s="134" t="s">
        <v>56</v>
      </c>
      <c r="P11" s="29" t="s">
        <v>25</v>
      </c>
      <c r="U11" s="67" t="s">
        <v>36</v>
      </c>
      <c r="V11" s="68" t="s">
        <v>37</v>
      </c>
      <c r="W11" s="69" t="s">
        <v>38</v>
      </c>
    </row>
    <row r="12" spans="4:24" ht="28.5" thickTop="1" thickBot="1" x14ac:dyDescent="0.3">
      <c r="D12" s="7">
        <f>F3</f>
        <v>0</v>
      </c>
      <c r="E12" s="113" t="s">
        <v>15</v>
      </c>
      <c r="F12" s="113"/>
      <c r="G12" s="113"/>
      <c r="H12" s="34" t="s">
        <v>14</v>
      </c>
      <c r="I12" s="35" t="s">
        <v>18</v>
      </c>
      <c r="J12" s="107" t="s">
        <v>57</v>
      </c>
      <c r="K12" s="138"/>
      <c r="L12" s="138"/>
      <c r="M12" s="108"/>
      <c r="N12" s="136" t="s">
        <v>24</v>
      </c>
      <c r="O12" s="135"/>
      <c r="P12" s="36" t="str">
        <f>VLOOKUP(O13,U12:X18,4,TRUE)</f>
        <v>PFA</v>
      </c>
      <c r="U12" s="70" t="s">
        <v>39</v>
      </c>
      <c r="V12" s="71">
        <v>3</v>
      </c>
      <c r="W12" s="72" t="s">
        <v>46</v>
      </c>
      <c r="X12" s="73" t="s">
        <v>53</v>
      </c>
    </row>
    <row r="13" spans="4:24" ht="16.5" thickTop="1" thickBot="1" x14ac:dyDescent="0.3">
      <c r="D13" s="114" t="str">
        <f>F5</f>
        <v>°C</v>
      </c>
      <c r="E13" s="115"/>
      <c r="F13" s="115"/>
      <c r="G13" s="115"/>
      <c r="H13" s="115"/>
      <c r="I13" s="115"/>
      <c r="J13" s="115"/>
      <c r="K13" s="115"/>
      <c r="L13" s="115"/>
      <c r="M13" s="116"/>
      <c r="N13" s="137"/>
      <c r="O13" s="74" t="s">
        <v>42</v>
      </c>
      <c r="P13" s="75" t="str">
        <f>IF(O13=U12,W12,IF(O13=U13,W13,IF(O13=U14,W14,IF(O13=U15,W15,IF(O13=U16,W16,IF(O13=U17,W17,IF(O13=U18,W18,"N/A")))))))</f>
        <v>&lt; 5 %</v>
      </c>
      <c r="U13" s="70" t="s">
        <v>40</v>
      </c>
      <c r="V13" s="71">
        <v>1.5</v>
      </c>
      <c r="W13" s="72" t="s">
        <v>47</v>
      </c>
      <c r="X13" s="73" t="s">
        <v>53</v>
      </c>
    </row>
    <row r="14" spans="4:24" ht="16.5" thickTop="1" thickBot="1" x14ac:dyDescent="0.3">
      <c r="D14" s="39">
        <v>1</v>
      </c>
      <c r="E14" s="44">
        <f>'Ac.Sim&amp;R.Com'!B12</f>
        <v>0.2</v>
      </c>
      <c r="F14" s="58">
        <v>0</v>
      </c>
      <c r="G14" s="59">
        <f>'Ac.Sim&amp;R.Com'!D12</f>
        <v>-0.2</v>
      </c>
      <c r="H14" s="44">
        <f>'Ac.Sim&amp;R.Com'!E12</f>
        <v>0</v>
      </c>
      <c r="I14" s="21">
        <f>'Ac.Sim&amp;R.Com'!F12</f>
        <v>0.05</v>
      </c>
      <c r="J14" s="44">
        <f>E14-I14*IF($O$13=$U$12,$V$12,IF($O$13=$U$13,$V$13,IF($O$13=$U$14,$V$14,IF($O$13=$U$15,$V$15,IF($O$13=$U$16,$V$16,IF($O$13=$U$17,$V$17,IF($O$13=$U$18,$V$18,"N/A")))))))</f>
        <v>0.1585</v>
      </c>
      <c r="K14" s="21">
        <f>E14+I14*IF($O$13=$U$12,$V$12,IF($O$13=$U$13,$V$13,IF($O$13=$U$14,$V$14,IF($O$13=$U$15,$V$15,IF($O$13=$U$16,$V$16,IF($O$13=$U$17,$V$17,IF($O$13=$U$18,$V$18,"N/A")))))))</f>
        <v>0.24150000000000002</v>
      </c>
      <c r="L14" s="44">
        <f t="shared" ref="L14:M14" si="0">-J14</f>
        <v>-0.1585</v>
      </c>
      <c r="M14" s="21">
        <f t="shared" si="0"/>
        <v>-0.24150000000000002</v>
      </c>
      <c r="N14" s="211" t="str">
        <f>IF(ABS(H14)&lt;=J14,"Pasa",IF(AND(ABS(H14)&gt;J14,ABS(H14)&lt;=E14),"Pasa Condicionado",IF(AND(ABS(H14)&gt;E14,H14&lt;=K14),"No Pasa Condicionado","No Pasa")))</f>
        <v>Pasa</v>
      </c>
      <c r="O14" s="79">
        <f>ROUND(100*_xlfn.NORM.DIST(E14,ABS(H14),(I14*IF($O$13=$U$12,$V$12,IF($O$13=$U$13,$V$13,IF($O$13=$U$14,$V$14,IF($O$13=$U$15,$V$15,IF($O$13=$U$16,$V$16,IF($O$13=$U$17,$V$17,IF($O$13=$U$18,$V$18,"N/A")))))))),TRUE),2)</f>
        <v>100</v>
      </c>
      <c r="P14" s="80">
        <f>IF(O14=1,"0,00",ROUND(100-O14,2))</f>
        <v>0</v>
      </c>
      <c r="U14" s="70" t="s">
        <v>41</v>
      </c>
      <c r="V14" s="71">
        <v>1</v>
      </c>
      <c r="W14" s="72" t="s">
        <v>48</v>
      </c>
      <c r="X14" s="73" t="s">
        <v>53</v>
      </c>
    </row>
    <row r="15" spans="4:24" ht="24" thickTop="1" thickBot="1" x14ac:dyDescent="0.3">
      <c r="D15" s="41">
        <v>2</v>
      </c>
      <c r="E15" s="60">
        <f>E14</f>
        <v>0.2</v>
      </c>
      <c r="F15" s="61">
        <f>+F14</f>
        <v>0</v>
      </c>
      <c r="G15" s="62">
        <f>-E15</f>
        <v>-0.2</v>
      </c>
      <c r="H15" s="47">
        <f>'Ac.Sim&amp;R.Com'!E13</f>
        <v>0.19</v>
      </c>
      <c r="I15" s="23">
        <f>'Ac.Sim&amp;R.Com'!F13</f>
        <v>0.05</v>
      </c>
      <c r="J15" s="47">
        <f t="shared" ref="J15:J18" si="1">E15-I15*IF($O$13=$U$12,$V$12,IF($O$13=$U$13,$V$13,IF($O$13=$U$14,$V$14,IF($O$13=$U$15,$V$15,IF($O$13=$U$16,$V$16,IF($O$13=$U$17,$V$17,IF($O$13=$U$18,$V$18,"N/A")))))))</f>
        <v>0.1585</v>
      </c>
      <c r="K15" s="23">
        <f t="shared" ref="K15:K18" si="2">E15+I15*IF($O$13=$U$12,$V$12,IF($O$13=$U$13,$V$13,IF($O$13=$U$14,$V$14,IF($O$13=$U$15,$V$15,IF($O$13=$U$16,$V$16,IF($O$13=$U$17,$V$17,IF($O$13=$U$18,$V$18,"N/A")))))))</f>
        <v>0.24150000000000002</v>
      </c>
      <c r="L15" s="47">
        <f t="shared" ref="L15:L18" si="3">-J15</f>
        <v>-0.1585</v>
      </c>
      <c r="M15" s="23">
        <f t="shared" ref="M15:M18" si="4">-K15</f>
        <v>-0.24150000000000002</v>
      </c>
      <c r="N15" s="211" t="str">
        <f t="shared" ref="N15:N18" si="5">IF(ABS(H15)&lt;=J15,"Pasa",IF(AND(ABS(H15)&gt;J15,ABS(H15)&lt;=E15),"Pasa Condicionado",IF(AND(ABS(H15)&gt;E15,H15&lt;=K15),"No Pasa Condicionado","No Pasa")))</f>
        <v>Pasa Condicionado</v>
      </c>
      <c r="O15" s="79">
        <f t="shared" ref="O15:O18" si="6">ROUND(100*_xlfn.NORM.DIST(E15,ABS(H15),(I15*IF($O$13=$U$12,$V$12,IF($O$13=$U$13,$V$13,IF($O$13=$U$14,$V$14,IF($O$13=$U$15,$V$15,IF($O$13=$U$16,$V$16,IF($O$13=$U$17,$V$17,IF($O$13=$U$18,$V$18,"N/A")))))))),TRUE),2)</f>
        <v>59.52</v>
      </c>
      <c r="P15" s="81">
        <f t="shared" ref="P15:P18" si="7">IF(O15=1,"0,00",ROUND(100-O15,2))</f>
        <v>40.479999999999997</v>
      </c>
      <c r="U15" s="70" t="s">
        <v>42</v>
      </c>
      <c r="V15" s="71">
        <v>0.83</v>
      </c>
      <c r="W15" s="72" t="s">
        <v>49</v>
      </c>
      <c r="X15" s="73" t="s">
        <v>53</v>
      </c>
    </row>
    <row r="16" spans="4:24" ht="24" thickTop="1" thickBot="1" x14ac:dyDescent="0.3">
      <c r="D16" s="41">
        <v>3</v>
      </c>
      <c r="E16" s="60">
        <f>E15</f>
        <v>0.2</v>
      </c>
      <c r="F16" s="61">
        <f t="shared" ref="F16:F17" si="8">+F15</f>
        <v>0</v>
      </c>
      <c r="G16" s="62">
        <f>-E16</f>
        <v>-0.2</v>
      </c>
      <c r="H16" s="47">
        <f>'Ac.Sim&amp;R.Com'!E14</f>
        <v>0.2</v>
      </c>
      <c r="I16" s="23">
        <f>'Ac.Sim&amp;R.Com'!F14</f>
        <v>0.08</v>
      </c>
      <c r="J16" s="47">
        <f t="shared" si="1"/>
        <v>0.1336</v>
      </c>
      <c r="K16" s="23">
        <f t="shared" si="2"/>
        <v>0.26640000000000003</v>
      </c>
      <c r="L16" s="47">
        <f t="shared" si="3"/>
        <v>-0.1336</v>
      </c>
      <c r="M16" s="23">
        <f t="shared" si="4"/>
        <v>-0.26640000000000003</v>
      </c>
      <c r="N16" s="211" t="str">
        <f t="shared" si="5"/>
        <v>Pasa Condicionado</v>
      </c>
      <c r="O16" s="79">
        <f t="shared" si="6"/>
        <v>50</v>
      </c>
      <c r="P16" s="81">
        <f t="shared" si="7"/>
        <v>50</v>
      </c>
      <c r="U16" s="70" t="s">
        <v>43</v>
      </c>
      <c r="V16" s="71">
        <v>0</v>
      </c>
      <c r="W16" s="72" t="s">
        <v>50</v>
      </c>
      <c r="X16" s="73" t="s">
        <v>53</v>
      </c>
    </row>
    <row r="17" spans="4:24" ht="31.5" thickTop="1" thickBot="1" x14ac:dyDescent="0.3">
      <c r="D17" s="41">
        <v>4</v>
      </c>
      <c r="E17" s="60">
        <f>E16</f>
        <v>0.2</v>
      </c>
      <c r="F17" s="61">
        <f t="shared" si="8"/>
        <v>0</v>
      </c>
      <c r="G17" s="62">
        <f>-E17</f>
        <v>-0.2</v>
      </c>
      <c r="H17" s="47">
        <v>0.21</v>
      </c>
      <c r="I17" s="23">
        <f>'Ac.Sim&amp;R.Com'!F15</f>
        <v>0.08</v>
      </c>
      <c r="J17" s="47">
        <f t="shared" si="1"/>
        <v>0.1336</v>
      </c>
      <c r="K17" s="23">
        <f t="shared" si="2"/>
        <v>0.26640000000000003</v>
      </c>
      <c r="L17" s="47">
        <f t="shared" si="3"/>
        <v>-0.1336</v>
      </c>
      <c r="M17" s="23">
        <f t="shared" si="4"/>
        <v>-0.26640000000000003</v>
      </c>
      <c r="N17" s="211" t="str">
        <f t="shared" si="5"/>
        <v>No Pasa Condicionado</v>
      </c>
      <c r="O17" s="79">
        <f t="shared" si="6"/>
        <v>44.01</v>
      </c>
      <c r="P17" s="81">
        <f t="shared" si="7"/>
        <v>55.99</v>
      </c>
      <c r="U17" s="70" t="s">
        <v>44</v>
      </c>
      <c r="V17" s="71">
        <v>-1</v>
      </c>
      <c r="W17" s="76" t="s">
        <v>51</v>
      </c>
      <c r="X17" s="73" t="s">
        <v>54</v>
      </c>
    </row>
    <row r="18" spans="4:24" ht="31.5" thickTop="1" thickBot="1" x14ac:dyDescent="0.3">
      <c r="D18" s="42">
        <v>5</v>
      </c>
      <c r="E18" s="63">
        <f>E17</f>
        <v>0.2</v>
      </c>
      <c r="F18" s="64">
        <f>+F17</f>
        <v>0</v>
      </c>
      <c r="G18" s="65">
        <f>-E18</f>
        <v>-0.2</v>
      </c>
      <c r="H18" s="51">
        <f>'Ac.Sim&amp;R.Com'!E16</f>
        <v>0.3</v>
      </c>
      <c r="I18" s="25">
        <f>'Ac.Sim&amp;R.Com'!F16</f>
        <v>0.1</v>
      </c>
      <c r="J18" s="51">
        <f t="shared" si="1"/>
        <v>0.11700000000000001</v>
      </c>
      <c r="K18" s="25">
        <f t="shared" si="2"/>
        <v>0.28300000000000003</v>
      </c>
      <c r="L18" s="51">
        <f t="shared" si="3"/>
        <v>-0.11700000000000001</v>
      </c>
      <c r="M18" s="25">
        <f t="shared" si="4"/>
        <v>-0.28300000000000003</v>
      </c>
      <c r="N18" s="212" t="str">
        <f t="shared" si="5"/>
        <v>No Pasa</v>
      </c>
      <c r="O18" s="82">
        <f t="shared" si="6"/>
        <v>11.41</v>
      </c>
      <c r="P18" s="83">
        <f t="shared" si="7"/>
        <v>88.59</v>
      </c>
      <c r="U18" s="77" t="s">
        <v>45</v>
      </c>
      <c r="V18" s="71">
        <f>E5</f>
        <v>0.2</v>
      </c>
      <c r="W18" s="76" t="s">
        <v>52</v>
      </c>
      <c r="X18" s="73" t="s">
        <v>54</v>
      </c>
    </row>
    <row r="19" spans="4:24" ht="15.75" thickTop="1" x14ac:dyDescent="0.25"/>
    <row r="20" spans="4:24" x14ac:dyDescent="0.25">
      <c r="D20" s="16"/>
      <c r="E20" s="16"/>
      <c r="F20" s="16"/>
      <c r="G20" s="16"/>
      <c r="H20" s="16"/>
      <c r="I20" s="16"/>
    </row>
    <row r="21" spans="4:24" x14ac:dyDescent="0.25">
      <c r="D21" s="16"/>
      <c r="E21" s="16"/>
      <c r="F21" s="16"/>
      <c r="G21" s="16"/>
      <c r="H21" s="16"/>
      <c r="I21" s="16"/>
    </row>
    <row r="22" spans="4:24" x14ac:dyDescent="0.25">
      <c r="D22" s="16"/>
      <c r="E22" s="16"/>
      <c r="F22" s="16"/>
      <c r="G22" s="16"/>
      <c r="H22" s="16"/>
      <c r="I22" s="16"/>
      <c r="J22" s="16"/>
      <c r="L22" s="16"/>
    </row>
    <row r="23" spans="4:24" x14ac:dyDescent="0.25">
      <c r="D23" s="16"/>
      <c r="E23" s="16"/>
      <c r="F23" s="16"/>
      <c r="G23" s="16"/>
      <c r="H23" s="16"/>
      <c r="I23" s="16"/>
    </row>
    <row r="24" spans="4:24" x14ac:dyDescent="0.25">
      <c r="D24" s="16"/>
      <c r="E24" s="16"/>
      <c r="F24" s="16"/>
      <c r="G24" s="16"/>
      <c r="H24" s="16"/>
      <c r="I24" s="16"/>
    </row>
    <row r="25" spans="4:24" x14ac:dyDescent="0.25">
      <c r="D25" s="16"/>
      <c r="E25" s="16"/>
      <c r="F25" s="16"/>
      <c r="G25" s="16"/>
      <c r="H25" s="16"/>
      <c r="I25" s="16"/>
    </row>
    <row r="26" spans="4:24" x14ac:dyDescent="0.25">
      <c r="D26" s="16"/>
      <c r="E26" s="16"/>
      <c r="F26" s="16"/>
      <c r="G26" s="16"/>
      <c r="H26" s="16"/>
      <c r="I26" s="16"/>
    </row>
    <row r="27" spans="4:24" x14ac:dyDescent="0.25">
      <c r="D27" s="16"/>
      <c r="E27" s="16"/>
      <c r="F27" s="16"/>
      <c r="G27" s="16"/>
      <c r="H27" s="16"/>
      <c r="I27" s="16"/>
    </row>
    <row r="28" spans="4:24" x14ac:dyDescent="0.25">
      <c r="D28" s="16"/>
      <c r="E28" s="16"/>
      <c r="F28" s="16"/>
      <c r="G28" s="16"/>
      <c r="H28" s="16"/>
      <c r="I28" s="16"/>
    </row>
    <row r="29" spans="4:24" x14ac:dyDescent="0.25">
      <c r="D29" s="16"/>
      <c r="E29" s="16"/>
      <c r="F29" s="16"/>
      <c r="G29" s="16"/>
      <c r="H29" s="16"/>
      <c r="I29" s="16"/>
    </row>
    <row r="30" spans="4:24" x14ac:dyDescent="0.25">
      <c r="D30" s="16"/>
      <c r="E30" s="16"/>
      <c r="F30" s="16"/>
      <c r="G30" s="16"/>
      <c r="H30" s="16"/>
      <c r="I30" s="16"/>
    </row>
    <row r="34" spans="4:14" ht="15.75" thickBot="1" x14ac:dyDescent="0.3"/>
    <row r="35" spans="4:14" ht="27" customHeight="1" thickTop="1" thickBot="1" x14ac:dyDescent="0.3">
      <c r="D35" s="28"/>
      <c r="E35" s="28"/>
      <c r="F35" s="28"/>
      <c r="G35" s="28"/>
      <c r="H35" s="122"/>
      <c r="I35" s="122"/>
      <c r="J35" s="122"/>
      <c r="L35" s="28"/>
      <c r="M35" s="132" t="s">
        <v>56</v>
      </c>
      <c r="N35" s="29" t="s">
        <v>25</v>
      </c>
    </row>
    <row r="36" spans="4:14" ht="28.5" customHeight="1" thickTop="1" thickBot="1" x14ac:dyDescent="0.3">
      <c r="D36" s="7">
        <f>D12</f>
        <v>0</v>
      </c>
      <c r="E36" s="113" t="s">
        <v>15</v>
      </c>
      <c r="F36" s="113"/>
      <c r="G36" s="113"/>
      <c r="H36" s="34" t="s">
        <v>14</v>
      </c>
      <c r="I36" s="35" t="s">
        <v>18</v>
      </c>
      <c r="J36" s="107" t="s">
        <v>55</v>
      </c>
      <c r="K36" s="108"/>
      <c r="L36" s="130" t="s">
        <v>24</v>
      </c>
      <c r="M36" s="133"/>
      <c r="N36" s="36" t="str">
        <f>VLOOKUP(M37,U12:X18,4,TRUE)</f>
        <v>PFA</v>
      </c>
    </row>
    <row r="37" spans="4:14" ht="26.25" thickTop="1" thickBot="1" x14ac:dyDescent="0.3">
      <c r="D37" s="127" t="str">
        <f>D13</f>
        <v>°C</v>
      </c>
      <c r="E37" s="128"/>
      <c r="F37" s="128"/>
      <c r="G37" s="128"/>
      <c r="H37" s="128"/>
      <c r="I37" s="128"/>
      <c r="J37" s="128"/>
      <c r="K37" s="129"/>
      <c r="L37" s="131"/>
      <c r="M37" s="74" t="s">
        <v>45</v>
      </c>
      <c r="N37" s="78" t="str">
        <f>IF(M37=U12,W12,IF(M37=U13,W13,IF(M37=U14,W14,IF(M37=U15,W15,IF(M37=U16,W16,IF(M37=U17,W17,IF(M37=U18,W18,"N/A")))))))</f>
        <v>Riesgo del cliente</v>
      </c>
    </row>
    <row r="38" spans="4:14" ht="15.75" thickTop="1" x14ac:dyDescent="0.25">
      <c r="D38" s="39">
        <v>1</v>
      </c>
      <c r="E38" s="44">
        <f>E14</f>
        <v>0.2</v>
      </c>
      <c r="F38" s="58">
        <v>0</v>
      </c>
      <c r="G38" s="59">
        <f>G14</f>
        <v>-0.2</v>
      </c>
      <c r="H38" s="44">
        <f>H14</f>
        <v>0</v>
      </c>
      <c r="I38" s="55">
        <f>I14</f>
        <v>0.05</v>
      </c>
      <c r="J38" s="44">
        <f>E38-I38*IF($M$37=$U$12,$V$12,IF($M$37=$U$13,$V$13,IF($M$37=$U$14,$V$14,IF($M$37=$U$15,$V$15,IF($M$37=$U$16,$V$16,IF($M$37=$U$17,$V$17,IF($M$37=$U$18,$V$18,"N/A")))))))</f>
        <v>0.19</v>
      </c>
      <c r="K38" s="21">
        <f>-J38</f>
        <v>-0.19</v>
      </c>
      <c r="L38" s="87" t="str">
        <f>IF(ABS(H38)&lt;=J38,"Conforme","No Conforme")</f>
        <v>Conforme</v>
      </c>
      <c r="M38" s="84">
        <f>ROUND(100*_xlfn.NORM.DIST(E38,ABS(H38),(I38*IF($M$37=$U$12,$V$12,IF($M$37=$U$13,$V$13,IF($M$37=$U$14,$V$14,IF($M$37=$U$15,$V$15,IF($M$37=$U$16,$V$16,IF($M$37=$U$17,$V$17,IF($M$37=$U$18,$V$18,"N/A")))))))),TRUE),2)</f>
        <v>100</v>
      </c>
      <c r="N38" s="80">
        <f>IF(M38=1,"0,00",ROUND(100-M38,2))</f>
        <v>0</v>
      </c>
    </row>
    <row r="39" spans="4:14" x14ac:dyDescent="0.25">
      <c r="D39" s="41">
        <v>2</v>
      </c>
      <c r="E39" s="60">
        <f t="shared" ref="E39:E42" si="9">E15</f>
        <v>0.2</v>
      </c>
      <c r="F39" s="61">
        <f>F38</f>
        <v>0</v>
      </c>
      <c r="G39" s="62">
        <f t="shared" ref="G39:I39" si="10">G15</f>
        <v>-0.2</v>
      </c>
      <c r="H39" s="47">
        <f t="shared" si="10"/>
        <v>0.19</v>
      </c>
      <c r="I39" s="50">
        <f t="shared" si="10"/>
        <v>0.05</v>
      </c>
      <c r="J39" s="47">
        <f t="shared" ref="J39:J42" si="11">E39-I39*IF($M$37=$U$12,$V$12,IF($M$37=$U$13,$V$13,IF($M$37=$U$14,$V$14,IF($M$37=$U$15,$V$15,IF($M$37=$U$16,$V$16,IF($M$37=$U$17,$V$17,IF($M$37=$U$18,$V$18,"N/A")))))))</f>
        <v>0.19</v>
      </c>
      <c r="K39" s="23">
        <f t="shared" ref="K39:K42" si="12">-J39</f>
        <v>-0.19</v>
      </c>
      <c r="L39" s="213" t="str">
        <f>IF(ABS(H39)&lt;=J39,"Conforme","No Conforme")</f>
        <v>Conforme</v>
      </c>
      <c r="M39" s="85">
        <f t="shared" ref="M39:M42" si="13">ROUND(100*_xlfn.NORM.DIST(E39,ABS(H39),(I39*IF($M$37=$U$12,$V$12,IF($M$37=$U$13,$V$13,IF($M$37=$U$14,$V$14,IF($M$37=$U$15,$V$15,IF($M$37=$U$16,$V$16,IF($M$37=$U$17,$V$17,IF($M$37=$U$18,$V$18,"N/A")))))))),TRUE),2)</f>
        <v>84.13</v>
      </c>
      <c r="N39" s="81">
        <f t="shared" ref="N39:N42" si="14">IF(M39=1,"0,00",ROUND(100-M39,2))</f>
        <v>15.87</v>
      </c>
    </row>
    <row r="40" spans="4:14" x14ac:dyDescent="0.25">
      <c r="D40" s="41">
        <v>3</v>
      </c>
      <c r="E40" s="60">
        <f t="shared" si="9"/>
        <v>0.2</v>
      </c>
      <c r="F40" s="61">
        <f>F39</f>
        <v>0</v>
      </c>
      <c r="G40" s="62">
        <f t="shared" ref="G40:I40" si="15">G16</f>
        <v>-0.2</v>
      </c>
      <c r="H40" s="47">
        <f t="shared" si="15"/>
        <v>0.2</v>
      </c>
      <c r="I40" s="50">
        <f t="shared" si="15"/>
        <v>0.08</v>
      </c>
      <c r="J40" s="47">
        <f t="shared" si="11"/>
        <v>0.184</v>
      </c>
      <c r="K40" s="23">
        <f t="shared" si="12"/>
        <v>-0.184</v>
      </c>
      <c r="L40" s="213" t="str">
        <f>IF(ABS(H40)&lt;=J40,"Conforme","No Conforme")</f>
        <v>No Conforme</v>
      </c>
      <c r="M40" s="85">
        <f t="shared" si="13"/>
        <v>50</v>
      </c>
      <c r="N40" s="81">
        <f t="shared" si="14"/>
        <v>50</v>
      </c>
    </row>
    <row r="41" spans="4:14" x14ac:dyDescent="0.25">
      <c r="D41" s="41">
        <v>4</v>
      </c>
      <c r="E41" s="60">
        <f t="shared" si="9"/>
        <v>0.2</v>
      </c>
      <c r="F41" s="61">
        <f>F40</f>
        <v>0</v>
      </c>
      <c r="G41" s="62">
        <f t="shared" ref="G41:I41" si="16">G17</f>
        <v>-0.2</v>
      </c>
      <c r="H41" s="47">
        <f t="shared" si="16"/>
        <v>0.21</v>
      </c>
      <c r="I41" s="50">
        <f t="shared" si="16"/>
        <v>0.08</v>
      </c>
      <c r="J41" s="47">
        <f t="shared" si="11"/>
        <v>0.184</v>
      </c>
      <c r="K41" s="23">
        <f t="shared" si="12"/>
        <v>-0.184</v>
      </c>
      <c r="L41" s="213" t="str">
        <f>IF(ABS(H41)&lt;=J41,"Conforme","No Conforme")</f>
        <v>No Conforme</v>
      </c>
      <c r="M41" s="85">
        <f t="shared" si="13"/>
        <v>26.6</v>
      </c>
      <c r="N41" s="81">
        <f t="shared" si="14"/>
        <v>73.400000000000006</v>
      </c>
    </row>
    <row r="42" spans="4:14" ht="15.75" thickBot="1" x14ac:dyDescent="0.3">
      <c r="D42" s="42">
        <v>5</v>
      </c>
      <c r="E42" s="63">
        <f t="shared" si="9"/>
        <v>0.2</v>
      </c>
      <c r="F42" s="64">
        <f>+F41</f>
        <v>0</v>
      </c>
      <c r="G42" s="65">
        <f t="shared" ref="G42:I42" si="17">G18</f>
        <v>-0.2</v>
      </c>
      <c r="H42" s="51">
        <f t="shared" si="17"/>
        <v>0.3</v>
      </c>
      <c r="I42" s="52">
        <f t="shared" si="17"/>
        <v>0.1</v>
      </c>
      <c r="J42" s="51">
        <f t="shared" si="11"/>
        <v>0.18</v>
      </c>
      <c r="K42" s="25">
        <f t="shared" si="12"/>
        <v>-0.18</v>
      </c>
      <c r="L42" s="88" t="str">
        <f>IF(ABS(H42)&lt;=J42,"Conforme","No Conforme")</f>
        <v>No Conforme</v>
      </c>
      <c r="M42" s="82">
        <f t="shared" si="13"/>
        <v>0</v>
      </c>
      <c r="N42" s="83">
        <f t="shared" si="14"/>
        <v>100</v>
      </c>
    </row>
    <row r="43" spans="4:14" ht="15.75" thickTop="1" x14ac:dyDescent="0.25"/>
  </sheetData>
  <sheetProtection algorithmName="SHA-512" hashValue="P8QeGZV+h2sf1ZNMFa3eUbqK5kOYzM49Vztsw9YqTRIPUyE7bLvworZu4L+RXgdRihJKRYKhqEvnjGO+rwV5MQ==" saltValue="qp9yS7/n2UIK3OIjX8SUAg==" spinCount="100000" sheet="1" objects="1" scenarios="1"/>
  <mergeCells count="15">
    <mergeCell ref="O11:O12"/>
    <mergeCell ref="E12:G12"/>
    <mergeCell ref="N12:N13"/>
    <mergeCell ref="J12:M12"/>
    <mergeCell ref="D13:M13"/>
    <mergeCell ref="E2:H2"/>
    <mergeCell ref="F3:G3"/>
    <mergeCell ref="F4:H4"/>
    <mergeCell ref="H11:J11"/>
    <mergeCell ref="H35:J35"/>
    <mergeCell ref="D37:K37"/>
    <mergeCell ref="L36:L37"/>
    <mergeCell ref="M35:M36"/>
    <mergeCell ref="E36:G36"/>
    <mergeCell ref="J36:K36"/>
  </mergeCells>
  <conditionalFormatting sqref="J12">
    <cfRule type="containsText" dxfId="6" priority="5" operator="containsText" text="NC">
      <formula>NOT(ISERROR(SEARCH("NC",J12)))</formula>
    </cfRule>
  </conditionalFormatting>
  <conditionalFormatting sqref="I12">
    <cfRule type="containsText" dxfId="5" priority="4" operator="containsText" text="NC">
      <formula>NOT(ISERROR(SEARCH("NC",I12)))</formula>
    </cfRule>
  </conditionalFormatting>
  <conditionalFormatting sqref="J36">
    <cfRule type="containsText" dxfId="4" priority="2" operator="containsText" text="NC">
      <formula>NOT(ISERROR(SEARCH("NC",J36)))</formula>
    </cfRule>
  </conditionalFormatting>
  <conditionalFormatting sqref="I36">
    <cfRule type="containsText" dxfId="3" priority="1" operator="containsText" text="NC">
      <formula>NOT(ISERROR(SEARCH("NC",I36)))</formula>
    </cfRule>
  </conditionalFormatting>
  <dataValidations disablePrompts="1" count="2">
    <dataValidation type="list" allowBlank="1" showInputMessage="1" showErrorMessage="1" sqref="F5" xr:uid="{BA4CF2EB-0399-4801-A62B-9C28C2BBA3BE}">
      <formula1>$T$2:$T$7</formula1>
    </dataValidation>
    <dataValidation type="list" allowBlank="1" showInputMessage="1" showErrorMessage="1" sqref="M37 O13" xr:uid="{74109F46-ED2E-42FD-A85D-B8486F56B651}">
      <formula1>$U$12:$U$18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25DD-FE68-4796-9173-29FA57B5D0E8}">
  <sheetPr codeName="Hoja2"/>
  <dimension ref="D1:U30"/>
  <sheetViews>
    <sheetView topLeftCell="A10" zoomScale="90" zoomScaleNormal="90" workbookViewId="0">
      <selection activeCell="L14" sqref="L14:L18"/>
    </sheetView>
  </sheetViews>
  <sheetFormatPr baseColWidth="10" defaultRowHeight="15" x14ac:dyDescent="0.25"/>
  <cols>
    <col min="1" max="7" width="11.42578125" style="1"/>
    <col min="8" max="8" width="12.7109375" style="1" customWidth="1"/>
    <col min="9" max="9" width="11.42578125" style="1"/>
    <col min="10" max="10" width="11.85546875" style="1" bestFit="1" customWidth="1"/>
    <col min="11" max="11" width="12.5703125" style="1" customWidth="1"/>
    <col min="12" max="12" width="15.42578125" style="1" customWidth="1"/>
    <col min="13" max="13" width="14.85546875" style="1" customWidth="1"/>
    <col min="14" max="16384" width="11.42578125" style="1"/>
  </cols>
  <sheetData>
    <row r="1" spans="4:21" x14ac:dyDescent="0.25">
      <c r="R1" s="1" t="s">
        <v>3</v>
      </c>
    </row>
    <row r="2" spans="4:21" x14ac:dyDescent="0.25">
      <c r="D2" s="1" t="s">
        <v>0</v>
      </c>
      <c r="E2" s="123">
        <f>'Ac.Sim&amp;R.Com'!B2</f>
        <v>0</v>
      </c>
      <c r="F2" s="123"/>
      <c r="G2" s="123"/>
      <c r="H2" s="123"/>
      <c r="R2" s="2" t="s">
        <v>10</v>
      </c>
      <c r="S2" s="26"/>
    </row>
    <row r="3" spans="4:21" x14ac:dyDescent="0.25">
      <c r="D3" s="1" t="s">
        <v>1</v>
      </c>
      <c r="E3" s="3" t="s">
        <v>17</v>
      </c>
      <c r="F3" s="120">
        <f>'Ac.Sim&amp;R.Com'!C3</f>
        <v>0</v>
      </c>
      <c r="G3" s="120"/>
      <c r="H3" s="4"/>
      <c r="R3" s="2" t="s">
        <v>11</v>
      </c>
      <c r="S3" s="26"/>
    </row>
    <row r="4" spans="4:21" x14ac:dyDescent="0.25">
      <c r="E4" s="5" t="s">
        <v>16</v>
      </c>
      <c r="F4" s="120">
        <f>'Ac.Sim&amp;R.Com'!C4</f>
        <v>0</v>
      </c>
      <c r="G4" s="120"/>
      <c r="H4" s="121"/>
      <c r="R4" s="2" t="s">
        <v>12</v>
      </c>
      <c r="S4" s="26"/>
    </row>
    <row r="5" spans="4:21" x14ac:dyDescent="0.25">
      <c r="D5" s="1" t="s">
        <v>2</v>
      </c>
      <c r="E5" s="6">
        <f>'Ac.Sim&amp;R.Com'!B5</f>
        <v>0.2</v>
      </c>
      <c r="F5" s="3" t="s">
        <v>10</v>
      </c>
      <c r="G5" s="3"/>
      <c r="H5" s="3"/>
      <c r="R5" s="2" t="s">
        <v>13</v>
      </c>
      <c r="S5" s="26"/>
    </row>
    <row r="6" spans="4:21" x14ac:dyDescent="0.25">
      <c r="R6" s="2" t="s">
        <v>22</v>
      </c>
      <c r="S6" s="26"/>
    </row>
    <row r="7" spans="4:21" x14ac:dyDescent="0.25">
      <c r="E7" s="4"/>
      <c r="R7" s="2"/>
      <c r="S7" s="26"/>
    </row>
    <row r="8" spans="4:21" x14ac:dyDescent="0.25">
      <c r="D8" s="27" t="s">
        <v>34</v>
      </c>
      <c r="E8" s="66">
        <v>2</v>
      </c>
    </row>
    <row r="10" spans="4:21" ht="10.5" customHeight="1" thickBot="1" x14ac:dyDescent="0.3"/>
    <row r="11" spans="4:21" ht="32.25" customHeight="1" thickTop="1" thickBot="1" x14ac:dyDescent="0.3">
      <c r="D11" s="28"/>
      <c r="E11" s="28"/>
      <c r="F11" s="28"/>
      <c r="G11" s="28"/>
      <c r="H11" s="122"/>
      <c r="I11" s="122"/>
      <c r="J11" s="122"/>
      <c r="K11" s="28"/>
      <c r="L11" s="28"/>
      <c r="M11" s="139" t="s">
        <v>32</v>
      </c>
      <c r="N11" s="29" t="s">
        <v>25</v>
      </c>
      <c r="R11" s="30" t="s">
        <v>31</v>
      </c>
      <c r="S11" s="31" t="s">
        <v>23</v>
      </c>
      <c r="T11" s="32" t="s">
        <v>29</v>
      </c>
      <c r="U11" s="33" t="s">
        <v>30</v>
      </c>
    </row>
    <row r="12" spans="4:21" ht="45.75" customHeight="1" thickTop="1" thickBot="1" x14ac:dyDescent="0.3">
      <c r="D12" s="7">
        <f>F3</f>
        <v>0</v>
      </c>
      <c r="E12" s="113" t="s">
        <v>15</v>
      </c>
      <c r="F12" s="113"/>
      <c r="G12" s="113"/>
      <c r="H12" s="34" t="s">
        <v>14</v>
      </c>
      <c r="I12" s="35" t="s">
        <v>18</v>
      </c>
      <c r="J12" s="107" t="s">
        <v>35</v>
      </c>
      <c r="K12" s="108"/>
      <c r="L12" s="136" t="s">
        <v>24</v>
      </c>
      <c r="M12" s="133"/>
      <c r="N12" s="36" t="s">
        <v>33</v>
      </c>
      <c r="R12" s="37">
        <f>100*S12</f>
        <v>50</v>
      </c>
      <c r="S12" s="31">
        <v>0.5</v>
      </c>
      <c r="T12" s="38">
        <f>1-S12</f>
        <v>0.5</v>
      </c>
      <c r="U12" s="33">
        <v>0</v>
      </c>
    </row>
    <row r="13" spans="4:21" ht="16.5" thickTop="1" thickBot="1" x14ac:dyDescent="0.3">
      <c r="D13" s="140" t="str">
        <f>F5</f>
        <v>°C</v>
      </c>
      <c r="E13" s="141"/>
      <c r="F13" s="141"/>
      <c r="G13" s="141"/>
      <c r="H13" s="141"/>
      <c r="I13" s="141"/>
      <c r="J13" s="141"/>
      <c r="K13" s="142"/>
      <c r="L13" s="137"/>
      <c r="M13" s="57">
        <v>95</v>
      </c>
      <c r="N13" s="56">
        <f>100-M13</f>
        <v>5</v>
      </c>
      <c r="R13" s="37">
        <f t="shared" ref="R13:R26" si="0">100*S13</f>
        <v>68.27</v>
      </c>
      <c r="S13" s="31">
        <v>0.68269999999999997</v>
      </c>
      <c r="T13" s="38">
        <f t="shared" ref="T13:T26" si="1">1-S13</f>
        <v>0.31730000000000003</v>
      </c>
      <c r="U13" s="33">
        <v>0.4753</v>
      </c>
    </row>
    <row r="14" spans="4:21" ht="16.5" thickTop="1" thickBot="1" x14ac:dyDescent="0.3">
      <c r="D14" s="39">
        <v>1</v>
      </c>
      <c r="E14" s="44">
        <f>'Ac.Sim&amp;R.Com'!B12</f>
        <v>0.2</v>
      </c>
      <c r="F14" s="58">
        <v>0</v>
      </c>
      <c r="G14" s="59">
        <f>'Ac.Sim&amp;R.Com'!D12</f>
        <v>-0.2</v>
      </c>
      <c r="H14" s="44">
        <f>'Ac.Sim&amp;R.Com'!E12</f>
        <v>0</v>
      </c>
      <c r="I14" s="40">
        <f>'Ac.Sim&amp;R.Com'!F12</f>
        <v>0.05</v>
      </c>
      <c r="J14" s="44">
        <f>E14-(I14/$E$8)*VLOOKUP($M$13,$R$12:$U$26,4,TRUE)</f>
        <v>0.159</v>
      </c>
      <c r="K14" s="21">
        <f>-J14</f>
        <v>-0.159</v>
      </c>
      <c r="L14" s="208" t="str">
        <f>IF(ABS(H14)&lt;=J14,"Conforme","No Conforme")</f>
        <v>Conforme</v>
      </c>
      <c r="M14" s="45">
        <f>ROUND(100*_xlfn.NORM.DIST(E14,ABS(H14),(I14/$E$8*VLOOKUP($M$13,$R$12:$U$26,4,TRUE)),TRUE),2)</f>
        <v>100</v>
      </c>
      <c r="N14" s="46">
        <f>IF(M14=1,"0,00",ROUND(100-M14,2))</f>
        <v>0</v>
      </c>
      <c r="R14" s="37">
        <f t="shared" si="0"/>
        <v>69</v>
      </c>
      <c r="S14" s="31">
        <v>0.69</v>
      </c>
      <c r="T14" s="38">
        <f t="shared" si="1"/>
        <v>0.31000000000000005</v>
      </c>
      <c r="U14" s="33">
        <v>0.5</v>
      </c>
    </row>
    <row r="15" spans="4:21" ht="16.5" thickTop="1" thickBot="1" x14ac:dyDescent="0.3">
      <c r="D15" s="41">
        <v>2</v>
      </c>
      <c r="E15" s="60">
        <f>E14</f>
        <v>0.2</v>
      </c>
      <c r="F15" s="61">
        <v>0</v>
      </c>
      <c r="G15" s="62">
        <f>-E15</f>
        <v>-0.2</v>
      </c>
      <c r="H15" s="60">
        <f>'Ac.Sim&amp;R.Com'!E13</f>
        <v>0.19</v>
      </c>
      <c r="I15" s="12">
        <f>'Ac.Sim&amp;R.Com'!F13</f>
        <v>0.05</v>
      </c>
      <c r="J15" s="47">
        <f t="shared" ref="J15:J18" si="2">E15-(I15/$E$8)*VLOOKUP($M$13,$R$12:$U$26,4,TRUE)</f>
        <v>0.159</v>
      </c>
      <c r="K15" s="23">
        <f>-J15</f>
        <v>-0.159</v>
      </c>
      <c r="L15" s="209" t="str">
        <f>IF(ABS(H15)&lt;=J15,"Conforme","No Conforme")</f>
        <v>No Conforme</v>
      </c>
      <c r="M15" s="48">
        <f>ROUND(100*_xlfn.NORM.DIST(E15,ABS(H15),(I15/$E$8*VLOOKUP($M$13,$R$12:$U$25,4,TRUE)),TRUE),2)</f>
        <v>59.63</v>
      </c>
      <c r="N15" s="49">
        <f>IF(M15=1,"0,00",ROUND(100-M15,2))</f>
        <v>40.369999999999997</v>
      </c>
      <c r="R15" s="37">
        <f t="shared" si="0"/>
        <v>80</v>
      </c>
      <c r="S15" s="31">
        <v>0.8</v>
      </c>
      <c r="T15" s="38">
        <f t="shared" si="1"/>
        <v>0.19999999999999996</v>
      </c>
      <c r="U15" s="33">
        <v>0.84</v>
      </c>
    </row>
    <row r="16" spans="4:21" ht="16.5" thickTop="1" thickBot="1" x14ac:dyDescent="0.3">
      <c r="D16" s="41">
        <v>3</v>
      </c>
      <c r="E16" s="60">
        <f>E15</f>
        <v>0.2</v>
      </c>
      <c r="F16" s="61">
        <v>0</v>
      </c>
      <c r="G16" s="62">
        <f>-E16</f>
        <v>-0.2</v>
      </c>
      <c r="H16" s="60">
        <f>'Ac.Sim&amp;R.Com'!E14</f>
        <v>0.2</v>
      </c>
      <c r="I16" s="12">
        <f>'Ac.Sim&amp;R.Com'!F14</f>
        <v>0.08</v>
      </c>
      <c r="J16" s="47">
        <f t="shared" si="2"/>
        <v>0.13440000000000002</v>
      </c>
      <c r="K16" s="23">
        <f>-J16</f>
        <v>-0.13440000000000002</v>
      </c>
      <c r="L16" s="209" t="str">
        <f>IF(ABS(H16)&lt;=J16,"Conforme","No Conforme")</f>
        <v>No Conforme</v>
      </c>
      <c r="M16" s="48">
        <f>ROUND(100*_xlfn.NORM.DIST(E16,ABS(H16),(I16/$E$8*VLOOKUP($M$13,$R$12:$U$25,4,TRUE)),TRUE),2)</f>
        <v>50</v>
      </c>
      <c r="N16" s="49">
        <f>IF(M16=1,"0,00",ROUND(100-M16,2))</f>
        <v>50</v>
      </c>
      <c r="R16" s="37">
        <f t="shared" si="0"/>
        <v>84</v>
      </c>
      <c r="S16" s="31">
        <v>0.84</v>
      </c>
      <c r="T16" s="38">
        <f t="shared" si="1"/>
        <v>0.16000000000000003</v>
      </c>
      <c r="U16" s="33">
        <v>1</v>
      </c>
    </row>
    <row r="17" spans="4:21" ht="16.5" thickTop="1" thickBot="1" x14ac:dyDescent="0.3">
      <c r="D17" s="41">
        <v>4</v>
      </c>
      <c r="E17" s="60">
        <f>E16</f>
        <v>0.2</v>
      </c>
      <c r="F17" s="61">
        <v>0</v>
      </c>
      <c r="G17" s="62">
        <f>-E17</f>
        <v>-0.2</v>
      </c>
      <c r="H17" s="60">
        <f>'Ac.Sim&amp;R.Com'!E15</f>
        <v>0.21</v>
      </c>
      <c r="I17" s="12">
        <f>'Ac.Sim&amp;R.Com'!F15</f>
        <v>0.08</v>
      </c>
      <c r="J17" s="47">
        <f t="shared" si="2"/>
        <v>0.13440000000000002</v>
      </c>
      <c r="K17" s="23">
        <f>-J17</f>
        <v>-0.13440000000000002</v>
      </c>
      <c r="L17" s="209" t="str">
        <f>IF(ABS(H17)&lt;=J17,"Conforme","No Conforme")</f>
        <v>No Conforme</v>
      </c>
      <c r="M17" s="48">
        <f>ROUND(100*_xlfn.NORM.DIST(E17,ABS(H17),(I17/$E$8*VLOOKUP($M$13,$R$12:$U$25,4,TRUE)),TRUE),2)</f>
        <v>43.94</v>
      </c>
      <c r="N17" s="49">
        <f>IF(M17=1,"0,00",ROUND(100-M17,2))</f>
        <v>56.06</v>
      </c>
      <c r="R17" s="37">
        <f t="shared" si="0"/>
        <v>90</v>
      </c>
      <c r="S17" s="31">
        <v>0.9</v>
      </c>
      <c r="T17" s="38">
        <f t="shared" si="1"/>
        <v>9.9999999999999978E-2</v>
      </c>
      <c r="U17" s="33">
        <v>1.28</v>
      </c>
    </row>
    <row r="18" spans="4:21" ht="16.5" thickTop="1" thickBot="1" x14ac:dyDescent="0.3">
      <c r="D18" s="42">
        <v>5</v>
      </c>
      <c r="E18" s="63">
        <f>E17</f>
        <v>0.2</v>
      </c>
      <c r="F18" s="64">
        <v>0</v>
      </c>
      <c r="G18" s="65">
        <f>-E18</f>
        <v>-0.2</v>
      </c>
      <c r="H18" s="63">
        <f>'Ac.Sim&amp;R.Com'!E16</f>
        <v>0.3</v>
      </c>
      <c r="I18" s="15">
        <f>'Ac.Sim&amp;R.Com'!F16</f>
        <v>0.1</v>
      </c>
      <c r="J18" s="51">
        <f t="shared" si="2"/>
        <v>0.11800000000000001</v>
      </c>
      <c r="K18" s="25">
        <f>-J18</f>
        <v>-0.11800000000000001</v>
      </c>
      <c r="L18" s="210" t="str">
        <f>IF(ABS(H18)&lt;=J18,"Conforme","No Conforme")</f>
        <v>No Conforme</v>
      </c>
      <c r="M18" s="53">
        <f>ROUND(100*_xlfn.NORM.DIST(E18,ABS(H18),(I18/$E$8*VLOOKUP($M$13,$R$12:$U$25,4,TRUE)),TRUE),2)</f>
        <v>11.13</v>
      </c>
      <c r="N18" s="54">
        <f>IF(M18=1,"0,00",ROUND(100-M18,2))</f>
        <v>88.87</v>
      </c>
      <c r="R18" s="37">
        <f t="shared" si="0"/>
        <v>93.300000000000011</v>
      </c>
      <c r="S18" s="31">
        <v>0.93300000000000005</v>
      </c>
      <c r="T18" s="38">
        <f t="shared" si="1"/>
        <v>6.6999999999999948E-2</v>
      </c>
      <c r="U18" s="33">
        <v>1.5</v>
      </c>
    </row>
    <row r="19" spans="4:21" ht="16.5" thickTop="1" thickBot="1" x14ac:dyDescent="0.3">
      <c r="R19" s="37">
        <f t="shared" si="0"/>
        <v>95</v>
      </c>
      <c r="S19" s="31">
        <v>0.95</v>
      </c>
      <c r="T19" s="38">
        <f t="shared" si="1"/>
        <v>5.0000000000000044E-2</v>
      </c>
      <c r="U19" s="33">
        <v>1.64</v>
      </c>
    </row>
    <row r="20" spans="4:21" ht="16.5" thickTop="1" thickBot="1" x14ac:dyDescent="0.3">
      <c r="D20" s="16"/>
      <c r="E20" s="16"/>
      <c r="F20" s="16"/>
      <c r="G20" s="16"/>
      <c r="H20" s="16"/>
      <c r="I20" s="16"/>
      <c r="R20" s="37">
        <f t="shared" si="0"/>
        <v>95.45</v>
      </c>
      <c r="S20" s="31">
        <v>0.95450000000000002</v>
      </c>
      <c r="T20" s="38">
        <f t="shared" si="1"/>
        <v>4.5499999999999985E-2</v>
      </c>
      <c r="U20" s="33">
        <v>1.69</v>
      </c>
    </row>
    <row r="21" spans="4:21" ht="16.5" thickTop="1" thickBot="1" x14ac:dyDescent="0.3">
      <c r="D21" s="16"/>
      <c r="E21" s="16"/>
      <c r="F21" s="16"/>
      <c r="G21" s="16"/>
      <c r="H21" s="16"/>
      <c r="I21" s="16"/>
      <c r="R21" s="37">
        <f t="shared" si="0"/>
        <v>97.7</v>
      </c>
      <c r="S21" s="31">
        <v>0.97699999999999998</v>
      </c>
      <c r="T21" s="38">
        <f t="shared" si="1"/>
        <v>2.300000000000002E-2</v>
      </c>
      <c r="U21" s="33">
        <v>2</v>
      </c>
    </row>
    <row r="22" spans="4:21" ht="16.5" thickTop="1" thickBot="1" x14ac:dyDescent="0.3">
      <c r="D22" s="16"/>
      <c r="E22" s="16"/>
      <c r="F22" s="16"/>
      <c r="G22" s="16"/>
      <c r="H22" s="16"/>
      <c r="I22" s="16"/>
      <c r="J22" s="16"/>
      <c r="R22" s="37">
        <f t="shared" si="0"/>
        <v>99</v>
      </c>
      <c r="S22" s="31">
        <v>0.99</v>
      </c>
      <c r="T22" s="38">
        <f t="shared" si="1"/>
        <v>1.0000000000000009E-2</v>
      </c>
      <c r="U22" s="33">
        <v>2.33</v>
      </c>
    </row>
    <row r="23" spans="4:21" ht="16.5" thickTop="1" thickBot="1" x14ac:dyDescent="0.3">
      <c r="D23" s="16"/>
      <c r="E23" s="16"/>
      <c r="F23" s="16"/>
      <c r="G23" s="16"/>
      <c r="H23" s="16"/>
      <c r="I23" s="16"/>
      <c r="R23" s="37">
        <f t="shared" si="0"/>
        <v>99.38</v>
      </c>
      <c r="S23" s="31">
        <v>0.99380000000000002</v>
      </c>
      <c r="T23" s="38">
        <f t="shared" si="1"/>
        <v>6.1999999999999833E-3</v>
      </c>
      <c r="U23" s="33">
        <v>2.5</v>
      </c>
    </row>
    <row r="24" spans="4:21" ht="16.5" thickTop="1" thickBot="1" x14ac:dyDescent="0.3">
      <c r="D24" s="16"/>
      <c r="E24" s="16"/>
      <c r="F24" s="16"/>
      <c r="G24" s="16"/>
      <c r="H24" s="16"/>
      <c r="I24" s="16"/>
      <c r="R24" s="37">
        <f t="shared" si="0"/>
        <v>99.72999999999999</v>
      </c>
      <c r="S24" s="31">
        <v>0.99729999999999996</v>
      </c>
      <c r="T24" s="38">
        <f t="shared" si="1"/>
        <v>2.7000000000000357E-3</v>
      </c>
      <c r="U24" s="33">
        <v>2.78</v>
      </c>
    </row>
    <row r="25" spans="4:21" ht="16.5" thickTop="1" thickBot="1" x14ac:dyDescent="0.3">
      <c r="D25" s="16"/>
      <c r="E25" s="16"/>
      <c r="F25" s="16"/>
      <c r="G25" s="16"/>
      <c r="H25" s="16"/>
      <c r="I25" s="16"/>
      <c r="R25" s="37">
        <f t="shared" si="0"/>
        <v>99.87</v>
      </c>
      <c r="S25" s="31">
        <v>0.99870000000000003</v>
      </c>
      <c r="T25" s="38">
        <f t="shared" si="1"/>
        <v>1.2999999999999678E-3</v>
      </c>
      <c r="U25" s="33">
        <v>3</v>
      </c>
    </row>
    <row r="26" spans="4:21" ht="16.5" thickTop="1" thickBot="1" x14ac:dyDescent="0.3">
      <c r="D26" s="16"/>
      <c r="E26" s="16"/>
      <c r="F26" s="16"/>
      <c r="G26" s="16"/>
      <c r="H26" s="16"/>
      <c r="I26" s="16"/>
      <c r="R26" s="43">
        <f t="shared" si="0"/>
        <v>99.9</v>
      </c>
      <c r="S26" s="31">
        <v>0.999</v>
      </c>
      <c r="T26" s="38">
        <f t="shared" si="1"/>
        <v>1.0000000000000009E-3</v>
      </c>
      <c r="U26" s="33">
        <v>3.09</v>
      </c>
    </row>
    <row r="27" spans="4:21" ht="15.75" thickTop="1" x14ac:dyDescent="0.25">
      <c r="D27" s="16"/>
      <c r="E27" s="16"/>
      <c r="F27" s="16"/>
      <c r="G27" s="16"/>
      <c r="H27" s="16"/>
      <c r="I27" s="16"/>
    </row>
    <row r="28" spans="4:21" x14ac:dyDescent="0.25">
      <c r="D28" s="16"/>
      <c r="E28" s="16"/>
      <c r="F28" s="16"/>
      <c r="G28" s="16"/>
      <c r="H28" s="16"/>
      <c r="I28" s="16"/>
    </row>
    <row r="29" spans="4:21" x14ac:dyDescent="0.25">
      <c r="D29" s="16"/>
      <c r="E29" s="16"/>
      <c r="F29" s="16"/>
      <c r="G29" s="16"/>
      <c r="H29" s="16"/>
      <c r="I29" s="16"/>
    </row>
    <row r="30" spans="4:21" x14ac:dyDescent="0.25">
      <c r="D30" s="16"/>
      <c r="E30" s="16"/>
      <c r="F30" s="16"/>
      <c r="G30" s="16"/>
      <c r="H30" s="16"/>
      <c r="I30" s="16"/>
    </row>
  </sheetData>
  <sheetProtection algorithmName="SHA-512" hashValue="9zvAHx0O59sbMOPTVg1Z/7S4hsvs5md5I4Bh8f8qogQPVMRP+97gBmnwT7+2/WMGNfZChhBpYr9KEGVegc73ZQ==" saltValue="rogsLW9uSiVPMbBwkLK0Yg==" spinCount="100000" sheet="1" objects="1" scenarios="1"/>
  <mergeCells count="9">
    <mergeCell ref="L12:L13"/>
    <mergeCell ref="M11:M12"/>
    <mergeCell ref="H11:J11"/>
    <mergeCell ref="E12:G12"/>
    <mergeCell ref="E2:H2"/>
    <mergeCell ref="F3:G3"/>
    <mergeCell ref="F4:H4"/>
    <mergeCell ref="J12:K12"/>
    <mergeCell ref="D13:K13"/>
  </mergeCells>
  <conditionalFormatting sqref="J12">
    <cfRule type="containsText" dxfId="2" priority="4" operator="containsText" text="NC">
      <formula>NOT(ISERROR(SEARCH("NC",J12)))</formula>
    </cfRule>
  </conditionalFormatting>
  <conditionalFormatting sqref="I12">
    <cfRule type="containsText" dxfId="1" priority="3" operator="containsText" text="NC">
      <formula>NOT(ISERROR(SEARCH("NC",I12)))</formula>
    </cfRule>
  </conditionalFormatting>
  <dataValidations count="2">
    <dataValidation type="list" allowBlank="1" showInputMessage="1" showErrorMessage="1" sqref="M13" xr:uid="{2B7B7978-9DC7-4FED-9269-94B3EAAF58DF}">
      <formula1>$R$12:$R$26</formula1>
    </dataValidation>
    <dataValidation type="list" allowBlank="1" showInputMessage="1" showErrorMessage="1" sqref="F5" xr:uid="{B31FC20E-7DE8-4824-98DA-03E75A8D29DD}">
      <formula1>$R$2:$R$7</formula1>
    </dataValidation>
  </dataValidations>
  <hyperlinks>
    <hyperlink ref="D8" r:id="rId1" xr:uid="{C2871D7D-8E16-4073-9731-5742664B17D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F535-137D-48C4-BF97-8C1D9E0E2795}">
  <dimension ref="C2:S16"/>
  <sheetViews>
    <sheetView tabSelected="1" workbookViewId="0">
      <selection activeCell="F13" sqref="F13"/>
    </sheetView>
  </sheetViews>
  <sheetFormatPr baseColWidth="10" defaultRowHeight="15" x14ac:dyDescent="0.25"/>
  <cols>
    <col min="1" max="4" width="11.42578125" style="153"/>
    <col min="5" max="5" width="12.5703125" style="153" bestFit="1" customWidth="1"/>
    <col min="6" max="6" width="11.5703125" style="153" bestFit="1" customWidth="1"/>
    <col min="7" max="13" width="11.42578125" style="153"/>
    <col min="14" max="14" width="11.28515625" style="153" customWidth="1"/>
    <col min="15" max="16" width="7" style="153" customWidth="1"/>
    <col min="17" max="17" width="14.140625" style="153" customWidth="1"/>
    <col min="18" max="18" width="11.42578125" style="153"/>
    <col min="19" max="19" width="12" style="153" bestFit="1" customWidth="1"/>
    <col min="20" max="16384" width="11.42578125" style="153"/>
  </cols>
  <sheetData>
    <row r="2" spans="3:19" ht="15.75" thickBot="1" x14ac:dyDescent="0.3">
      <c r="C2" s="152" t="s">
        <v>62</v>
      </c>
      <c r="D2" s="152">
        <v>0.25</v>
      </c>
      <c r="E2" s="152" t="s">
        <v>63</v>
      </c>
    </row>
    <row r="3" spans="3:19" ht="15.75" customHeight="1" thickTop="1" x14ac:dyDescent="0.25">
      <c r="L3" s="143" t="s">
        <v>61</v>
      </c>
      <c r="M3" s="146" t="s">
        <v>60</v>
      </c>
    </row>
    <row r="4" spans="3:19" ht="15.75" thickBot="1" x14ac:dyDescent="0.3">
      <c r="L4" s="144"/>
      <c r="M4" s="147"/>
    </row>
    <row r="5" spans="3:19" ht="27" thickTop="1" thickBot="1" x14ac:dyDescent="0.3">
      <c r="C5" s="149" t="s">
        <v>15</v>
      </c>
      <c r="D5" s="149"/>
      <c r="E5" s="149"/>
      <c r="F5" s="92" t="s">
        <v>64</v>
      </c>
      <c r="G5" s="93" t="s">
        <v>18</v>
      </c>
      <c r="H5" s="154" t="s">
        <v>21</v>
      </c>
      <c r="I5" s="150" t="s">
        <v>65</v>
      </c>
      <c r="J5" s="151"/>
      <c r="K5" s="155" t="s">
        <v>66</v>
      </c>
      <c r="L5" s="144"/>
      <c r="M5" s="147"/>
      <c r="N5" s="156" t="s">
        <v>67</v>
      </c>
      <c r="O5" s="157" t="s">
        <v>68</v>
      </c>
      <c r="P5" s="158"/>
      <c r="Q5" s="159" t="s">
        <v>69</v>
      </c>
      <c r="R5" s="160" t="s">
        <v>70</v>
      </c>
      <c r="S5" s="161" t="s">
        <v>71</v>
      </c>
    </row>
    <row r="6" spans="3:19" ht="16.5" thickTop="1" thickBot="1" x14ac:dyDescent="0.3">
      <c r="C6" s="114" t="str">
        <f>E2</f>
        <v>UE/mL</v>
      </c>
      <c r="D6" s="115"/>
      <c r="E6" s="115"/>
      <c r="F6" s="115"/>
      <c r="G6" s="115"/>
      <c r="H6" s="116"/>
      <c r="I6" s="162" t="s">
        <v>72</v>
      </c>
      <c r="J6" s="103" t="s">
        <v>73</v>
      </c>
      <c r="K6" s="163"/>
      <c r="L6" s="145"/>
      <c r="M6" s="148"/>
      <c r="N6" s="164"/>
      <c r="O6" s="165" t="s">
        <v>74</v>
      </c>
      <c r="P6" s="166"/>
      <c r="Q6" s="167"/>
      <c r="R6" s="168"/>
      <c r="S6" s="169"/>
    </row>
    <row r="7" spans="3:19" ht="15.75" thickTop="1" x14ac:dyDescent="0.25">
      <c r="C7" s="170">
        <f>D2</f>
        <v>0.25</v>
      </c>
      <c r="D7" s="171">
        <v>0</v>
      </c>
      <c r="E7" s="172">
        <f>-C7</f>
        <v>-0.25</v>
      </c>
      <c r="F7" s="8">
        <v>0</v>
      </c>
      <c r="G7" s="9">
        <v>0.05</v>
      </c>
      <c r="H7" s="181">
        <f>C7/3</f>
        <v>8.3333333333333329E-2</v>
      </c>
      <c r="I7" s="182" t="str">
        <f>IF(F7&lt;C7,"Pasa","No Pasa")</f>
        <v>Pasa</v>
      </c>
      <c r="J7" s="97" t="str">
        <f>IF(G7&lt;H7,"Pasa","No Pasa")</f>
        <v>Pasa</v>
      </c>
      <c r="K7" s="183">
        <f>C7/G7</f>
        <v>5</v>
      </c>
      <c r="L7" s="184" t="str">
        <f>IF(ABS(F7)&lt;C7,"Pasa","NoPasa")</f>
        <v>Pasa</v>
      </c>
      <c r="M7" s="185" t="str">
        <f>IF(ABS(F7)+G7&gt;C7,"No Pasa","Pasa")</f>
        <v>Pasa</v>
      </c>
      <c r="N7" s="186" t="str">
        <f>IF(F7&lt;=C7-G7,"Pasa","No Pasa")</f>
        <v>Pasa</v>
      </c>
      <c r="O7" s="187">
        <f>C7-G7</f>
        <v>0.2</v>
      </c>
      <c r="P7" s="100">
        <f>C7+G7</f>
        <v>0.3</v>
      </c>
      <c r="Q7" s="188" t="str">
        <f>IF(ABS(F7)&lt;=O7,"Pasa",IF(AND(ABS(F7)&gt;O7,ABS(F7)&lt;=C7),"Pasa Condicionado",IF(AND(ABS(F7)&gt;C7,ABS(F7)&lt;=P7),"No Pasa Comndicionado","No Pasa")))</f>
        <v>Pasa</v>
      </c>
      <c r="R7" s="189">
        <f>100*_xlfn.NORM.DIST(C7,F7,G7,TRUE)</f>
        <v>99.999971334842812</v>
      </c>
      <c r="S7" s="94">
        <f>100-R7</f>
        <v>2.8665157188356716E-5</v>
      </c>
    </row>
    <row r="8" spans="3:19" x14ac:dyDescent="0.25">
      <c r="C8" s="173">
        <f>C7</f>
        <v>0.25</v>
      </c>
      <c r="D8" s="174">
        <v>0</v>
      </c>
      <c r="E8" s="175">
        <f>-C8</f>
        <v>-0.25</v>
      </c>
      <c r="F8" s="10">
        <v>0.19</v>
      </c>
      <c r="G8" s="11">
        <f>+G7</f>
        <v>0.05</v>
      </c>
      <c r="H8" s="190">
        <f>H7</f>
        <v>8.3333333333333329E-2</v>
      </c>
      <c r="I8" s="191" t="str">
        <f t="shared" ref="I8:I11" si="0">IF(F8&lt;C8,"Pasa","No Pasa")</f>
        <v>Pasa</v>
      </c>
      <c r="J8" s="98" t="str">
        <f t="shared" ref="J8:J11" si="1">IF(G8&lt;H8,"Pasa","No Pasa")</f>
        <v>Pasa</v>
      </c>
      <c r="K8" s="192">
        <f>C8/G8</f>
        <v>5</v>
      </c>
      <c r="L8" s="193" t="str">
        <f t="shared" ref="L8:L11" si="2">IF(ABS(F8)&lt;C8,"Pasa","NoPasa")</f>
        <v>Pasa</v>
      </c>
      <c r="M8" s="194" t="str">
        <f t="shared" ref="M8:M11" si="3">IF(ABS(F8)+G8&gt;C8,"No Pasa","Pasa")</f>
        <v>Pasa</v>
      </c>
      <c r="N8" s="195" t="str">
        <f>IF(F8&lt;=C8-G8,"Pasa","No Pasa")</f>
        <v>Pasa</v>
      </c>
      <c r="O8" s="196">
        <f t="shared" ref="O8:O11" si="4">C8-G8</f>
        <v>0.2</v>
      </c>
      <c r="P8" s="101">
        <f t="shared" ref="P8:P11" si="5">C8+G8</f>
        <v>0.3</v>
      </c>
      <c r="Q8" s="197" t="str">
        <f t="shared" ref="Q8:Q11" si="6">IF(ABS(F8)&lt;=O8,"Pasa",IF(AND(ABS(F8)&gt;O8,ABS(F8)&lt;=C8),"Pasa Condicionado",IF(AND(ABS(F8)&gt;C8,ABS(F8)&lt;=P8),"No Pasa Comndicionado","No Pasa")))</f>
        <v>Pasa</v>
      </c>
      <c r="R8" s="198">
        <f t="shared" ref="R8:R11" si="7">100*_xlfn.NORM.DIST(C8,F8,G8,TRUE)</f>
        <v>88.493032977829174</v>
      </c>
      <c r="S8" s="95">
        <f t="shared" ref="S8:S11" si="8">100-R8</f>
        <v>11.506967022170826</v>
      </c>
    </row>
    <row r="9" spans="3:19" ht="25.5" x14ac:dyDescent="0.25">
      <c r="C9" s="173">
        <f>C8</f>
        <v>0.25</v>
      </c>
      <c r="D9" s="174">
        <v>0</v>
      </c>
      <c r="E9" s="175">
        <f>-C9</f>
        <v>-0.25</v>
      </c>
      <c r="F9" s="10">
        <v>0.2</v>
      </c>
      <c r="G9" s="11">
        <v>0.08</v>
      </c>
      <c r="H9" s="190">
        <f t="shared" ref="H9" si="9">C9/3</f>
        <v>8.3333333333333329E-2</v>
      </c>
      <c r="I9" s="191" t="str">
        <f t="shared" si="0"/>
        <v>Pasa</v>
      </c>
      <c r="J9" s="98" t="str">
        <f t="shared" si="1"/>
        <v>Pasa</v>
      </c>
      <c r="K9" s="192">
        <f t="shared" ref="K9:K11" si="10">C9/G9</f>
        <v>3.125</v>
      </c>
      <c r="L9" s="193" t="str">
        <f t="shared" si="2"/>
        <v>Pasa</v>
      </c>
      <c r="M9" s="194" t="str">
        <f t="shared" si="3"/>
        <v>No Pasa</v>
      </c>
      <c r="N9" s="195" t="str">
        <f>IF(F9&lt;=C9-G9,"Pasa","No Pasa")</f>
        <v>No Pasa</v>
      </c>
      <c r="O9" s="196">
        <f t="shared" si="4"/>
        <v>0.16999999999999998</v>
      </c>
      <c r="P9" s="101">
        <f t="shared" si="5"/>
        <v>0.33</v>
      </c>
      <c r="Q9" s="197" t="str">
        <f t="shared" si="6"/>
        <v>Pasa Condicionado</v>
      </c>
      <c r="R9" s="198">
        <f t="shared" si="7"/>
        <v>73.401447095129953</v>
      </c>
      <c r="S9" s="95">
        <f t="shared" si="8"/>
        <v>26.598552904870047</v>
      </c>
    </row>
    <row r="10" spans="3:19" ht="25.5" x14ac:dyDescent="0.25">
      <c r="C10" s="173">
        <f>C9</f>
        <v>0.25</v>
      </c>
      <c r="D10" s="174">
        <v>0</v>
      </c>
      <c r="E10" s="175">
        <f>-C10</f>
        <v>-0.25</v>
      </c>
      <c r="F10" s="10">
        <v>0.21</v>
      </c>
      <c r="G10" s="11">
        <f t="shared" ref="G10" si="11">+G9</f>
        <v>0.08</v>
      </c>
      <c r="H10" s="190">
        <f t="shared" ref="H10" si="12">H9</f>
        <v>8.3333333333333329E-2</v>
      </c>
      <c r="I10" s="191" t="str">
        <f t="shared" si="0"/>
        <v>Pasa</v>
      </c>
      <c r="J10" s="98" t="str">
        <f t="shared" si="1"/>
        <v>Pasa</v>
      </c>
      <c r="K10" s="192">
        <f t="shared" si="10"/>
        <v>3.125</v>
      </c>
      <c r="L10" s="193" t="str">
        <f t="shared" si="2"/>
        <v>Pasa</v>
      </c>
      <c r="M10" s="194" t="str">
        <f t="shared" si="3"/>
        <v>No Pasa</v>
      </c>
      <c r="N10" s="195" t="str">
        <f>IF(F10&lt;=C10-G10,"Pasa","No Pasa")</f>
        <v>No Pasa</v>
      </c>
      <c r="O10" s="196">
        <f t="shared" si="4"/>
        <v>0.16999999999999998</v>
      </c>
      <c r="P10" s="101">
        <f t="shared" si="5"/>
        <v>0.33</v>
      </c>
      <c r="Q10" s="197" t="str">
        <f t="shared" si="6"/>
        <v>Pasa Condicionado</v>
      </c>
      <c r="R10" s="198">
        <f t="shared" si="7"/>
        <v>69.146246127401312</v>
      </c>
      <c r="S10" s="95">
        <f t="shared" si="8"/>
        <v>30.853753872598688</v>
      </c>
    </row>
    <row r="11" spans="3:19" ht="26.25" thickBot="1" x14ac:dyDescent="0.3">
      <c r="C11" s="176">
        <f>C10</f>
        <v>0.25</v>
      </c>
      <c r="D11" s="177">
        <v>0</v>
      </c>
      <c r="E11" s="178">
        <f>-C11</f>
        <v>-0.25</v>
      </c>
      <c r="F11" s="13">
        <v>0.3</v>
      </c>
      <c r="G11" s="14">
        <v>0.1</v>
      </c>
      <c r="H11" s="199">
        <f t="shared" ref="H11" si="13">C11/3</f>
        <v>8.3333333333333329E-2</v>
      </c>
      <c r="I11" s="200" t="str">
        <f t="shared" si="0"/>
        <v>No Pasa</v>
      </c>
      <c r="J11" s="99" t="str">
        <f t="shared" si="1"/>
        <v>No Pasa</v>
      </c>
      <c r="K11" s="201">
        <f t="shared" si="10"/>
        <v>2.5</v>
      </c>
      <c r="L11" s="202" t="str">
        <f t="shared" si="2"/>
        <v>NoPasa</v>
      </c>
      <c r="M11" s="203" t="str">
        <f t="shared" si="3"/>
        <v>No Pasa</v>
      </c>
      <c r="N11" s="204" t="str">
        <f>IF(F11&lt;=C11-G11,"Pasa","No Pasa")</f>
        <v>No Pasa</v>
      </c>
      <c r="O11" s="205">
        <f t="shared" si="4"/>
        <v>0.15</v>
      </c>
      <c r="P11" s="102">
        <f t="shared" si="5"/>
        <v>0.35</v>
      </c>
      <c r="Q11" s="206" t="str">
        <f t="shared" si="6"/>
        <v>No Pasa Comndicionado</v>
      </c>
      <c r="R11" s="207">
        <f t="shared" si="7"/>
        <v>30.853753872598688</v>
      </c>
      <c r="S11" s="96">
        <f t="shared" si="8"/>
        <v>69.146246127401312</v>
      </c>
    </row>
    <row r="12" spans="3:19" ht="15.75" thickTop="1" x14ac:dyDescent="0.25">
      <c r="E12" s="179"/>
      <c r="F12" s="179"/>
    </row>
    <row r="14" spans="3:19" ht="15.75" thickBot="1" x14ac:dyDescent="0.3"/>
    <row r="15" spans="3:19" ht="16.5" thickTop="1" thickBot="1" x14ac:dyDescent="0.3">
      <c r="L15" s="180"/>
    </row>
    <row r="16" spans="3:19" ht="15.75" thickTop="1" x14ac:dyDescent="0.25"/>
  </sheetData>
  <sheetProtection algorithmName="SHA-512" hashValue="XgOWQhlRUalQSVvHKFTu+kaFlLPuoM3vVaeB9H01AfI4fNvWDnwhgWqHKn21RvdFcx8/Y5ZSws8BtF4G80Amfw==" saltValue="dcAZHqs52meSfj5HsbN9lQ==" spinCount="100000" sheet="1" objects="1" scenarios="1"/>
  <mergeCells count="12">
    <mergeCell ref="O5:P5"/>
    <mergeCell ref="Q5:Q6"/>
    <mergeCell ref="R5:R6"/>
    <mergeCell ref="S5:S6"/>
    <mergeCell ref="C6:H6"/>
    <mergeCell ref="O6:P6"/>
    <mergeCell ref="L3:L6"/>
    <mergeCell ref="M3:M6"/>
    <mergeCell ref="C5:E5"/>
    <mergeCell ref="I5:J5"/>
    <mergeCell ref="K5:K6"/>
    <mergeCell ref="N5:N6"/>
  </mergeCells>
  <conditionalFormatting sqref="G5">
    <cfRule type="containsText" dxfId="0" priority="1" operator="containsText" text="NC">
      <formula>NOT(ISERROR(SEARCH("NC",G5)))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Ac.Sim&amp;R.Com</vt:lpstr>
      <vt:lpstr>Binaria - No Binaria</vt:lpstr>
      <vt:lpstr>Amb&amp;Ind-Seg.Fija=U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CarlosErazo</dc:creator>
  <cp:lastModifiedBy>CarlosErazo</cp:lastModifiedBy>
  <dcterms:created xsi:type="dcterms:W3CDTF">2022-03-06T17:05:45Z</dcterms:created>
  <dcterms:modified xsi:type="dcterms:W3CDTF">2022-03-10T13:31:43Z</dcterms:modified>
</cp:coreProperties>
</file>